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6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<sst xmlns="http://schemas.openxmlformats.org/spreadsheetml/2006/main" count="400" uniqueCount="344">
  <si>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</si>
  <si>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</si>
  <si>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</si>
  <si>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</si>
  <si>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</si>
  <si>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</si>
  <si>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</si>
  <si>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</si>
  <si>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</si>
  <si>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</si>
  <si>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</si>
  <si>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</si>
  <si>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</si>
  <si>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</si>
  <si>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</si>
  <si>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</si>
  <si>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</si>
  <si>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</si>
  <si>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</si>
  <si>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</si>
  <si>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</si>
  <si>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</si>
  <si>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</si>
  <si>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</si>
  <si>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</si>
  <si>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</si>
  <si>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</si>
  <si>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</si>
  <si>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</si>
  <si>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</si>
  <si>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</si>
  <si>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</si>
  <si>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</si>
  <si>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</si>
  <si>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</si>
  <si>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</si>
  <si>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</si>
  <si>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</si>
  <si>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</si>
  <si>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</si>
  <si>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</si>
  <si>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</si>
  <si>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</si>
  <si>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</si>
  <si>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</si>
  <si>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</si>
  <si>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</si>
  <si>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</si>
  <si>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</si>
  <si>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</si>
  <si>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</si>
  <si>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</si>
  <si>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</si>
  <si>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</si>
  <si>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</si>
  <si>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</si>
  <si>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</si>
  <si>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</si>
  <si>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</si>
  <si>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</si>
  <si>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</si>
  <si>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</si>
  <si>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</si>
  <si>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</si>
  <si>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</si>
  <si>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</si>
  <si>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</si>
  <si>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</si>
  <si>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</si>
  <si>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</si>
  <si>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</si>
  <si>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</si>
  <si>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</si>
  <si>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</si>
  <si>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</si>
  <si>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</si>
  <si>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</si>
  <si>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</si>
  <si>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</si>
  <si>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</si>
  <si>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</si>
  <si>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</si>
  <si>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</si>
  <si>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</si>
  <si>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</si>
  <si>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</si>
  <si>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</si>
  <si>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</si>
  <si>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</si>
  <si>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</si>
  <si>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</si>
  <si>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</si>
  <si>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</si>
  <si>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</si>
  <si>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</si>
  <si>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</si>
  <si>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</si>
  <si>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</si>
  <si>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</si>
  <si>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</si>
  <si>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</si>
  <si>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</si>
  <si>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</si>
  <si>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</si>
  <si>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</si>
  <si>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</si>
  <si>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</si>
  <si>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</si>
  <si>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</si>
  <si>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</si>
  <si>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</si>
  <si>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</si>
  <si>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</si>
  <si>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</si>
  <si>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</si>
  <si>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</si>
  <si>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</si>
  <si>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</si>
  <si>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</si>
  <si>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</si>
  <si>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</si>
  <si>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</si>
  <si>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</si>
  <si>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</si>
  <si>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</si>
  <si>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</si>
  <si>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</si>
  <si>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</si>
  <si>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</si>
  <si>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</si>
  <si>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</si>
  <si>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</si>
  <si>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</si>
  <si>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</si>
  <si>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</si>
  <si>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</si>
  <si>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</si>
  <si>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</si>
  <si>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</si>
  <si>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</si>
  <si>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</si>
  <si>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</si>
  <si>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</si>
  <si>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</si>
  <si>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</si>
  <si>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</si>
  <si>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</si>
  <si>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</si>
  <si>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</si>
  <si>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</si>
  <si>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</si>
  <si>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</si>
  <si>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</si>
  <si>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</si>
  <si>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</si>
  <si>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</si>
  <si>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</si>
  <si>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</si>
  <si>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</si>
  <si>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</si>
  <si>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</si>
  <si>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</si>
  <si>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</si>
  <si>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</si>
  <si>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</si>
  <si>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</si>
  <si>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</si>
  <si>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</si>
  <si>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</si>
  <si>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</si>
  <si>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</si>
  <si>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</si>
  <si>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</si>
  <si>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</si>
  <si>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</si>
  <si>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</si>
  <si>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</si>
  <si>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</si>
  <si>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</si>
  <si>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</si>
  <si>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</si>
  <si>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</si>
  <si>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</si>
  <si>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</si>
  <si>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</si>
  <si>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</si>
  <si>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</si>
  <si>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</si>
  <si>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</si>
  <si>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</si>
  <si>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</si>
  <si>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</si>
  <si>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</si>
  <si>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</si>
  <si>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</si>
  <si>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</si>
  <si>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</si>
  <si>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</si>
  <si>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</si>
  <si>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</si>
  <si>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</si>
  <si>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</si>
  <si>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</si>
  <si>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</si>
  <si>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</si>
  <si>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</si>
  <si>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</si>
  <si>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</si>
  <si>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</si>
  <si>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</si>
  <si>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</si>
  <si>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</si>
  <si>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</si>
  <si>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</si>
  <si>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</si>
  <si>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</si>
  <si>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</si>
  <si>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</si>
  <si>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</si>
  <si>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</si>
  <si>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</si>
  <si>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</si>
  <si>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</si>
  <si>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</si>
  <si>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</si>
  <si>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</si>
  <si>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</si>
  <si>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</si>
  <si>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</si>
  <si>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</si>
  <si>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</si>
  <si>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</si>
  <si>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</si>
  <si>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</si>
  <si>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</si>
  <si>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</si>
  <si>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</si>
  <si>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</si>
  <si>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</si>
  <si>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</si>
  <si>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</si>
  <si>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</si>
  <si>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</si>
  <si>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</si>
  <si>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</si>
  <si>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</si>
  <si>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</si>
  <si>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</si>
  <si>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</si>
  <si>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</si>
  <si>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</si>
  <si>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</si>
  <si>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</si>
  <si>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</si>
  <si>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</si>
  <si>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</si>
  <si>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</si>
  <si>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</si>
  <si>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</si>
  <si>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</si>
  <si>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</si>
  <si>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</si>
  <si>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</si>
  <si>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</si>
  <si>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</si>
  <si>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</si>
  <si>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</si>
  <si>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</si>
  <si>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</si>
  <si>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</si>
  <si>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</si>
  <si>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</si>
  <si>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</si>
  <si>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</si>
  <si>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</si>
  <si>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</si>
  <si>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</si>
  <si>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</si>
  <si>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</si>
  <si>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</si>
  <si>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</si>
  <si>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</si>
  <si>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</si>
  <si>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</si>
  <si>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</si>
  <si>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</si>
  <si>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</si>
  <si>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</si>
  <si>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</si>
  <si>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</si>
  <si>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</si>
  <si>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</si>
  <si>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</si>
  <si>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</si>
  <si>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</si>
  <si>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</si>
  <si>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</si>
  <si>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</si>
  <si>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</si>
  <si>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</si>
  <si>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</si>
  <si>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</si>
  <si>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</si>
  <si>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</si>
  <si>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</si>
  <si>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</si>
  <si>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</si>
  <si>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</si>
  <si>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</si>
  <si>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</si>
  <si>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</si>
  <si>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</si>
  <si>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</si>
  <si>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</si>
  <si>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</si>
  <si>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</si>
  <si>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</si>
  <si>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</si>
  <si>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</si>
  <si>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</si>
  <si>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</si>
  <si>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</si>
  <si>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</si>
  <si>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3749606</t>
  </si>
  <si>
    <t>080034217</t>
  </si>
  <si>
    <t>01.01.2017.</t>
  </si>
  <si>
    <t>31.12.2017.</t>
  </si>
  <si>
    <t>84368186611</t>
  </si>
  <si>
    <t>ZAGREBAČKA BURZA d.d.</t>
  </si>
  <si>
    <t>ZAGREB</t>
  </si>
  <si>
    <t>Ivana Lučića 2a</t>
  </si>
  <si>
    <t>GRAD ZAGREB</t>
  </si>
  <si>
    <t>NE</t>
  </si>
  <si>
    <t xml:space="preserve">6611
</t>
  </si>
  <si>
    <t>014699555</t>
  </si>
  <si>
    <t>014699500</t>
  </si>
  <si>
    <t>Ivana Gažić, Tomislav Gračan</t>
  </si>
  <si>
    <t>stanje na dan 31.12.2017.</t>
  </si>
  <si>
    <t>u razdoblju 01.01.2017. do 31.12.2017.</t>
  </si>
  <si>
    <t>04578244</t>
  </si>
  <si>
    <t>lucija.tropcic@sigmabc.eu</t>
  </si>
  <si>
    <t>Gažić Ivana, Gračan Tomislav</t>
  </si>
  <si>
    <t>SIGMA BUSINESS CONSULTING - POREZNO SAVJETNIŠTVO D.O.O.</t>
  </si>
  <si>
    <t>LUCIJA TROPČIĆ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</si>
</sst>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\(#,##0\);&quot;-&quot;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 wrapText="1"/>
      <protection hidden="1" locked="0"/>
    </xf>
    <xf numFmtId="194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/>
    </xf>
    <xf numFmtId="194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12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ija.tropcic@sigmabc.e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A1">
      <selection activeCell="G61" sqref="G6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248</v>
      </c>
      <c r="B1" s="181"/>
      <c r="C1" s="181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7" t="s">
        <v>249</v>
      </c>
      <c r="B2" s="138"/>
      <c r="C2" s="138"/>
      <c r="D2" s="139"/>
      <c r="E2" s="119" t="s">
        <v>325</v>
      </c>
      <c r="F2" s="12"/>
      <c r="G2" s="13" t="s">
        <v>250</v>
      </c>
      <c r="H2" s="119" t="s">
        <v>326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0" t="s">
        <v>317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3" t="s">
        <v>251</v>
      </c>
      <c r="B6" s="144"/>
      <c r="C6" s="135" t="s">
        <v>323</v>
      </c>
      <c r="D6" s="136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5" t="s">
        <v>252</v>
      </c>
      <c r="B8" s="146"/>
      <c r="C8" s="135" t="s">
        <v>324</v>
      </c>
      <c r="D8" s="136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2" t="s">
        <v>253</v>
      </c>
      <c r="B10" s="133"/>
      <c r="C10" s="135" t="s">
        <v>327</v>
      </c>
      <c r="D10" s="136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4"/>
      <c r="B11" s="133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3" t="s">
        <v>254</v>
      </c>
      <c r="B12" s="144"/>
      <c r="C12" s="147" t="s">
        <v>328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3" t="s">
        <v>255</v>
      </c>
      <c r="B14" s="144"/>
      <c r="C14" s="150">
        <v>10000</v>
      </c>
      <c r="D14" s="151"/>
      <c r="E14" s="16"/>
      <c r="F14" s="147" t="s">
        <v>329</v>
      </c>
      <c r="G14" s="148"/>
      <c r="H14" s="148"/>
      <c r="I14" s="149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3" t="s">
        <v>256</v>
      </c>
      <c r="B16" s="144"/>
      <c r="C16" s="147" t="s">
        <v>330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3" t="s">
        <v>257</v>
      </c>
      <c r="B18" s="144"/>
      <c r="C18" s="152"/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3" t="s">
        <v>258</v>
      </c>
      <c r="B20" s="144"/>
      <c r="C20" s="152"/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3" t="s">
        <v>259</v>
      </c>
      <c r="B22" s="144"/>
      <c r="C22" s="120">
        <v>133</v>
      </c>
      <c r="D22" s="147" t="s">
        <v>329</v>
      </c>
      <c r="E22" s="155"/>
      <c r="F22" s="156"/>
      <c r="G22" s="143"/>
      <c r="H22" s="157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3" t="s">
        <v>260</v>
      </c>
      <c r="B24" s="144"/>
      <c r="C24" s="120">
        <v>21</v>
      </c>
      <c r="D24" s="147" t="s">
        <v>331</v>
      </c>
      <c r="E24" s="155"/>
      <c r="F24" s="155"/>
      <c r="G24" s="156"/>
      <c r="H24" s="51" t="s">
        <v>261</v>
      </c>
      <c r="I24" s="121">
        <v>24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24">
      <c r="A26" s="143" t="s">
        <v>262</v>
      </c>
      <c r="B26" s="144"/>
      <c r="C26" s="122" t="s">
        <v>332</v>
      </c>
      <c r="D26" s="25"/>
      <c r="E26" s="33"/>
      <c r="F26" s="24"/>
      <c r="G26" s="158" t="s">
        <v>263</v>
      </c>
      <c r="H26" s="144"/>
      <c r="I26" s="126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9" t="s">
        <v>264</v>
      </c>
      <c r="B28" s="160"/>
      <c r="C28" s="161"/>
      <c r="D28" s="161"/>
      <c r="E28" s="162" t="s">
        <v>265</v>
      </c>
      <c r="F28" s="163"/>
      <c r="G28" s="163"/>
      <c r="H28" s="164" t="s">
        <v>266</v>
      </c>
      <c r="I28" s="165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6"/>
      <c r="B30" s="167"/>
      <c r="C30" s="167"/>
      <c r="D30" s="168"/>
      <c r="E30" s="166"/>
      <c r="F30" s="167"/>
      <c r="G30" s="167"/>
      <c r="H30" s="135"/>
      <c r="I30" s="136"/>
      <c r="J30" s="10"/>
      <c r="K30" s="10"/>
      <c r="L30" s="10"/>
    </row>
    <row r="31" spans="1:12" ht="12.75">
      <c r="A31" s="93"/>
      <c r="B31" s="22"/>
      <c r="C31" s="21"/>
      <c r="D31" s="169"/>
      <c r="E31" s="169"/>
      <c r="F31" s="169"/>
      <c r="G31" s="170"/>
      <c r="H31" s="16"/>
      <c r="I31" s="100"/>
      <c r="J31" s="10"/>
      <c r="K31" s="10"/>
      <c r="L31" s="10"/>
    </row>
    <row r="32" spans="1:12" ht="12.75">
      <c r="A32" s="166"/>
      <c r="B32" s="167"/>
      <c r="C32" s="167"/>
      <c r="D32" s="168"/>
      <c r="E32" s="166"/>
      <c r="F32" s="167"/>
      <c r="G32" s="167"/>
      <c r="H32" s="135"/>
      <c r="I32" s="136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6"/>
      <c r="B34" s="167"/>
      <c r="C34" s="167"/>
      <c r="D34" s="168"/>
      <c r="E34" s="166"/>
      <c r="F34" s="167"/>
      <c r="G34" s="167"/>
      <c r="H34" s="135"/>
      <c r="I34" s="136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6"/>
      <c r="B36" s="167"/>
      <c r="C36" s="167"/>
      <c r="D36" s="168"/>
      <c r="E36" s="166"/>
      <c r="F36" s="167"/>
      <c r="G36" s="167"/>
      <c r="H36" s="135"/>
      <c r="I36" s="136"/>
      <c r="J36" s="10"/>
      <c r="K36" s="10"/>
      <c r="L36" s="10"/>
    </row>
    <row r="37" spans="1:12" ht="12.75">
      <c r="A37" s="102"/>
      <c r="B37" s="30"/>
      <c r="C37" s="171"/>
      <c r="D37" s="172"/>
      <c r="E37" s="16"/>
      <c r="F37" s="171"/>
      <c r="G37" s="172"/>
      <c r="H37" s="16"/>
      <c r="I37" s="94"/>
      <c r="J37" s="10"/>
      <c r="K37" s="10"/>
      <c r="L37" s="10"/>
    </row>
    <row r="38" spans="1:12" ht="12.75">
      <c r="A38" s="166"/>
      <c r="B38" s="167"/>
      <c r="C38" s="167"/>
      <c r="D38" s="168"/>
      <c r="E38" s="166"/>
      <c r="F38" s="167"/>
      <c r="G38" s="167"/>
      <c r="H38" s="135"/>
      <c r="I38" s="136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6"/>
      <c r="B40" s="167"/>
      <c r="C40" s="167"/>
      <c r="D40" s="168"/>
      <c r="E40" s="166"/>
      <c r="F40" s="167"/>
      <c r="G40" s="167"/>
      <c r="H40" s="135"/>
      <c r="I40" s="13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2" t="s">
        <v>267</v>
      </c>
      <c r="B44" s="176"/>
      <c r="C44" s="135" t="s">
        <v>339</v>
      </c>
      <c r="D44" s="136"/>
      <c r="E44" s="26"/>
      <c r="F44" s="147" t="s">
        <v>342</v>
      </c>
      <c r="G44" s="186"/>
      <c r="H44" s="186"/>
      <c r="I44" s="187"/>
      <c r="J44" s="10"/>
      <c r="K44" s="10"/>
      <c r="L44" s="10"/>
    </row>
    <row r="45" spans="1:12" ht="12.75">
      <c r="A45" s="102"/>
      <c r="B45" s="30"/>
      <c r="C45" s="171"/>
      <c r="D45" s="172"/>
      <c r="E45" s="16"/>
      <c r="F45" s="171"/>
      <c r="G45" s="173"/>
      <c r="H45" s="35"/>
      <c r="I45" s="106"/>
      <c r="J45" s="10"/>
      <c r="K45" s="10"/>
      <c r="L45" s="10"/>
    </row>
    <row r="46" spans="1:12" ht="12.75">
      <c r="A46" s="132" t="s">
        <v>268</v>
      </c>
      <c r="B46" s="176"/>
      <c r="C46" s="147" t="s">
        <v>343</v>
      </c>
      <c r="D46" s="174"/>
      <c r="E46" s="174"/>
      <c r="F46" s="174"/>
      <c r="G46" s="174"/>
      <c r="H46" s="174"/>
      <c r="I46" s="175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2" t="s">
        <v>270</v>
      </c>
      <c r="B48" s="176"/>
      <c r="C48" s="177" t="s">
        <v>334</v>
      </c>
      <c r="D48" s="178"/>
      <c r="E48" s="179"/>
      <c r="F48" s="16"/>
      <c r="G48" s="51" t="s">
        <v>271</v>
      </c>
      <c r="H48" s="177" t="s">
        <v>335</v>
      </c>
      <c r="I48" s="179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2" t="s">
        <v>257</v>
      </c>
      <c r="B50" s="176"/>
      <c r="C50" s="190" t="s">
        <v>340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3" t="s">
        <v>272</v>
      </c>
      <c r="B52" s="144"/>
      <c r="C52" s="177" t="s">
        <v>341</v>
      </c>
      <c r="D52" s="178"/>
      <c r="E52" s="178"/>
      <c r="F52" s="178"/>
      <c r="G52" s="178"/>
      <c r="H52" s="178"/>
      <c r="I52" s="149"/>
      <c r="J52" s="10"/>
      <c r="K52" s="10"/>
      <c r="L52" s="10"/>
    </row>
    <row r="53" spans="1:12" ht="12.75">
      <c r="A53" s="107"/>
      <c r="B53" s="20"/>
      <c r="C53" s="182" t="s">
        <v>273</v>
      </c>
      <c r="D53" s="182"/>
      <c r="E53" s="182"/>
      <c r="F53" s="182"/>
      <c r="G53" s="182"/>
      <c r="H53" s="182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1" t="s">
        <v>274</v>
      </c>
      <c r="C55" s="192"/>
      <c r="D55" s="192"/>
      <c r="E55" s="192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7"/>
      <c r="B57" s="193" t="s">
        <v>307</v>
      </c>
      <c r="C57" s="194"/>
      <c r="D57" s="194"/>
      <c r="E57" s="194"/>
      <c r="F57" s="194"/>
      <c r="G57" s="194"/>
      <c r="H57" s="194"/>
      <c r="I57" s="109"/>
      <c r="J57" s="10"/>
      <c r="K57" s="10"/>
      <c r="L57" s="10"/>
    </row>
    <row r="58" spans="1:12" ht="12.75">
      <c r="A58" s="107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7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 t="s">
        <v>336</v>
      </c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83" t="s">
        <v>277</v>
      </c>
      <c r="H62" s="184"/>
      <c r="I62" s="185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8"/>
      <c r="H63" s="18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11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lucija.tropcic@sigmabc.eu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J69" sqref="J69:K114"/>
    </sheetView>
  </sheetViews>
  <sheetFormatPr defaultColWidth="9.140625" defaultRowHeight="12.75"/>
  <cols>
    <col min="1" max="9" width="9.140625" style="52" customWidth="1"/>
    <col min="10" max="10" width="11.28125" style="128" customWidth="1"/>
    <col min="11" max="11" width="11.00390625" style="128" customWidth="1"/>
    <col min="12" max="16384" width="9.140625" style="52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337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7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8" t="s">
        <v>278</v>
      </c>
      <c r="J4" s="59" t="s">
        <v>319</v>
      </c>
      <c r="K4" s="60" t="s">
        <v>320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7">
        <v>2</v>
      </c>
      <c r="J5" s="56">
        <v>3</v>
      </c>
      <c r="K5" s="56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23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22708416</v>
      </c>
      <c r="K8" s="53">
        <f>K9+K16+K26+K35+K39</f>
        <v>21375694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2245825</v>
      </c>
      <c r="K9" s="53">
        <f>SUM(K10:K15)</f>
        <v>1009764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2245825</v>
      </c>
      <c r="K11" s="7">
        <v>1009764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517361</v>
      </c>
      <c r="K16" s="53">
        <f>SUM(K17:K25)</f>
        <v>371034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/>
      <c r="K17" s="7"/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/>
      <c r="K18" s="7"/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493036</v>
      </c>
      <c r="K19" s="7">
        <v>371034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/>
      <c r="K20" s="7"/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/>
      <c r="K23" s="7"/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24325</v>
      </c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19817555</v>
      </c>
      <c r="K26" s="53">
        <f>SUM(K27:K34)</f>
        <v>19994896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19125436</v>
      </c>
      <c r="K27" s="7">
        <v>19125436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12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127">
        <v>172541</v>
      </c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196861</v>
      </c>
      <c r="K31" s="7">
        <v>201925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249890</v>
      </c>
      <c r="K32" s="7">
        <v>249890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43636</v>
      </c>
      <c r="K33" s="7">
        <v>39372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>
        <v>201732</v>
      </c>
      <c r="K34" s="127">
        <v>205732</v>
      </c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127675</v>
      </c>
      <c r="K35" s="53">
        <f>SUM(K36:K38)</f>
        <v>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127675</v>
      </c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24635486</v>
      </c>
      <c r="K40" s="53">
        <f>K41+K49+K56+K64</f>
        <v>20536335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13810</v>
      </c>
      <c r="K41" s="53">
        <f>SUM(K42:K48)</f>
        <v>10455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/>
      <c r="K42" s="7"/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13810</v>
      </c>
      <c r="K45" s="7">
        <v>10455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2547338</v>
      </c>
      <c r="K49" s="53">
        <f>SUM(K50:K55)</f>
        <v>1425811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/>
      <c r="K50" s="7"/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1448469</v>
      </c>
      <c r="K51" s="7">
        <v>1359677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5744</v>
      </c>
      <c r="K53" s="7">
        <v>14792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1041200</v>
      </c>
      <c r="K54" s="7">
        <v>8199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51925</v>
      </c>
      <c r="K55" s="7">
        <v>43143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10083600</v>
      </c>
      <c r="K56" s="53">
        <f>SUM(K57:K63)</f>
        <v>18217311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2000000</v>
      </c>
      <c r="K62" s="7"/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8083600</v>
      </c>
      <c r="K63" s="7">
        <v>18217311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11990738</v>
      </c>
      <c r="K64" s="7">
        <v>882758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3433506</v>
      </c>
      <c r="K65" s="7">
        <v>562618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50777408</v>
      </c>
      <c r="K66" s="53">
        <f>K7+K8+K40+K65</f>
        <v>42474647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/>
      <c r="K67" s="8"/>
    </row>
    <row r="68" spans="1:11" ht="12.75">
      <c r="A68" s="201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23"/>
      <c r="I69" s="3">
        <v>62</v>
      </c>
      <c r="J69" s="54">
        <f>J70+J71+J72+J78+J79+J82+J85</f>
        <v>42116041</v>
      </c>
      <c r="K69" s="54">
        <f>K70+K71+K72+K78+K79+K82+K85</f>
        <v>38449080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46357000</v>
      </c>
      <c r="K70" s="7">
        <v>46357000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13860181</v>
      </c>
      <c r="K71" s="7">
        <v>13860181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141000</v>
      </c>
      <c r="K72" s="53">
        <f>K73+K74-K75+K76+K77</f>
        <v>141000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141000</v>
      </c>
      <c r="K73" s="7">
        <v>141000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0</v>
      </c>
      <c r="K74" s="7">
        <v>0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/>
      <c r="K78" s="7"/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-13837569</v>
      </c>
      <c r="K79" s="53">
        <f>K80-K81</f>
        <v>-18242141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/>
      <c r="K80" s="7"/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13837569</v>
      </c>
      <c r="K81" s="7">
        <v>18242141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-4404571</v>
      </c>
      <c r="K82" s="53">
        <f>K83-K84</f>
        <v>-3666960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/>
      <c r="K83" s="7"/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4404571</v>
      </c>
      <c r="K84" s="7">
        <v>3666960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/>
      <c r="K93" s="7"/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4609351</v>
      </c>
      <c r="K100" s="53">
        <f>SUM(K101:K112)</f>
        <v>838775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0</v>
      </c>
      <c r="K101" s="7"/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0</v>
      </c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0</v>
      </c>
      <c r="K103" s="7"/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37259</v>
      </c>
      <c r="K104" s="7">
        <v>6475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3622510</v>
      </c>
      <c r="K105" s="7">
        <v>275907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0</v>
      </c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>
        <v>0</v>
      </c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254168</v>
      </c>
      <c r="K108" s="7">
        <v>288084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695414</v>
      </c>
      <c r="K109" s="7">
        <v>268309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0</v>
      </c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>
        <v>0</v>
      </c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0</v>
      </c>
      <c r="K112" s="7"/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4052016</v>
      </c>
      <c r="K113" s="7">
        <v>3186792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50777408</v>
      </c>
      <c r="K114" s="53">
        <f>K69+K86+K90+K100+K113</f>
        <v>42474647</v>
      </c>
    </row>
    <row r="115" spans="1:11" ht="12.75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/>
      <c r="K115" s="8"/>
    </row>
    <row r="116" spans="1:11" ht="12.75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/>
      <c r="K119" s="8"/>
    </row>
    <row r="120" spans="1:11" ht="12.75">
      <c r="A120" s="218" t="s">
        <v>311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conditionalFormatting sqref="K29">
    <cfRule type="cellIs" priority="5" dxfId="2" operator="notEqual" stopIfTrue="1">
      <formula>ROUND(K29,0)</formula>
    </cfRule>
    <cfRule type="cellIs" priority="6" dxfId="1" operator="lessThan" stopIfTrue="1">
      <formula>0</formula>
    </cfRule>
  </conditionalFormatting>
  <conditionalFormatting sqref="K34">
    <cfRule type="cellIs" priority="3" dxfId="2" operator="notEqual" stopIfTrue="1">
      <formula>ROUND(K34,0)</formula>
    </cfRule>
    <cfRule type="cellIs" priority="4" dxfId="1" operator="lessThan" stopIfTrue="1">
      <formula>0</formula>
    </cfRule>
  </conditionalFormatting>
  <conditionalFormatting sqref="K30">
    <cfRule type="cellIs" priority="1" dxfId="2" operator="notEqual" stopIfTrue="1">
      <formula>ROUND(K30,0)</formula>
    </cfRule>
    <cfRule type="cellIs" priority="2" dxfId="1" operator="lessThan" stopIfTrue="1">
      <formula>0</formula>
    </cfRule>
  </conditionalFormatting>
  <dataValidations count="2">
    <dataValidation allowBlank="1" sqref="K35:K65536 L1:IV65536 K1:K28 K31:K33 A1:J65536"/>
    <dataValidation type="whole" operator="greaterThanOrEqual" allowBlank="1" showInputMessage="1" showErrorMessage="1" errorTitle="Pogrešan upis" error="Dopušten je upis samo pozitivnih cjelobrojnih vrijednosti ili nule" sqref="K29:K30 K3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7" sqref="J7:M5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1" t="s">
        <v>338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5" t="s">
        <v>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8" t="s">
        <v>279</v>
      </c>
      <c r="J4" s="257" t="s">
        <v>319</v>
      </c>
      <c r="K4" s="257"/>
      <c r="L4" s="257" t="s">
        <v>320</v>
      </c>
      <c r="M4" s="257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54">
        <f>SUM(J8:J9)</f>
        <v>13828539</v>
      </c>
      <c r="K7" s="54">
        <f>SUM(K8:K9)</f>
        <v>4349271</v>
      </c>
      <c r="L7" s="54">
        <f>SUM(L8:L9)</f>
        <v>14179239</v>
      </c>
      <c r="M7" s="54">
        <f>SUM(M8:M9)</f>
        <v>3463741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129">
        <v>12811952</v>
      </c>
      <c r="K8" s="7">
        <v>3735684</v>
      </c>
      <c r="L8" s="7">
        <v>12781314</v>
      </c>
      <c r="M8" s="7">
        <f>+L8-9360983</f>
        <v>3420331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129">
        <v>1016587</v>
      </c>
      <c r="K9" s="7">
        <v>613587</v>
      </c>
      <c r="L9" s="7">
        <f>18389+1379536</f>
        <v>1397925</v>
      </c>
      <c r="M9" s="7">
        <f>+L9-1354515</f>
        <v>43410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18646639</v>
      </c>
      <c r="K10" s="53">
        <f>K11+K12+K16+K20+K21+K22+K25+K26</f>
        <v>6041942</v>
      </c>
      <c r="L10" s="53">
        <f>L11+L12+L16+L20+L21+L22+L25+L26</f>
        <v>18417836</v>
      </c>
      <c r="M10" s="53">
        <f>M11+M12+M16+M20+M21+M22+M25+M26</f>
        <v>5426691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8745608</v>
      </c>
      <c r="K12" s="53">
        <v>2675741</v>
      </c>
      <c r="L12" s="53">
        <f>SUM(L13:L15)</f>
        <v>8462399</v>
      </c>
      <c r="M12" s="53">
        <f>SUM(M13:M15)</f>
        <v>2141468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584897</v>
      </c>
      <c r="K13" s="7">
        <v>273060</v>
      </c>
      <c r="L13" s="7">
        <v>502924</v>
      </c>
      <c r="M13" s="7">
        <v>83288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5695</v>
      </c>
      <c r="K14" s="7">
        <v>195</v>
      </c>
      <c r="L14" s="7">
        <v>3355</v>
      </c>
      <c r="M14" s="7">
        <v>585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8155016</v>
      </c>
      <c r="K15" s="7">
        <v>2402486</v>
      </c>
      <c r="L15" s="7">
        <v>7956120</v>
      </c>
      <c r="M15" s="7">
        <f>+L15-5898525</f>
        <v>2057595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5671288</v>
      </c>
      <c r="K16" s="53">
        <f>SUM(K17:K19)</f>
        <v>1418042</v>
      </c>
      <c r="L16" s="53">
        <f>SUM(L17:L19)</f>
        <v>6272122</v>
      </c>
      <c r="M16" s="53">
        <f>SUM(M17:M19)</f>
        <v>1898016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2961650</v>
      </c>
      <c r="K17" s="7">
        <v>751703</v>
      </c>
      <c r="L17" s="7">
        <v>3384674</v>
      </c>
      <c r="M17" s="7">
        <f>+L17-2376492</f>
        <v>1008182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1897594</v>
      </c>
      <c r="K18" s="7">
        <v>464702</v>
      </c>
      <c r="L18" s="7">
        <v>2008619</v>
      </c>
      <c r="M18" s="7">
        <f>+L18-1386899</f>
        <v>621720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812044</v>
      </c>
      <c r="K19" s="7">
        <v>201637</v>
      </c>
      <c r="L19" s="7">
        <v>878829</v>
      </c>
      <c r="M19" s="7">
        <f>+L19-610715</f>
        <v>268114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1769212</v>
      </c>
      <c r="K20" s="7">
        <v>447533</v>
      </c>
      <c r="L20" s="7">
        <v>1245185</v>
      </c>
      <c r="M20" s="7">
        <f>+L20-1031069</f>
        <v>214116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1257984</v>
      </c>
      <c r="K21" s="7">
        <v>410771</v>
      </c>
      <c r="L21" s="7">
        <v>1285082</v>
      </c>
      <c r="M21" s="7">
        <f>+L21-1068117</f>
        <v>216965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660028</v>
      </c>
      <c r="K22" s="53">
        <f>SUM(K23:K24)</f>
        <v>581316</v>
      </c>
      <c r="L22" s="53">
        <f>SUM(L23:L24)</f>
        <v>339107</v>
      </c>
      <c r="M22" s="53">
        <f>SUM(M23:M24)</f>
        <v>323469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660028</v>
      </c>
      <c r="K24" s="7">
        <v>581316</v>
      </c>
      <c r="L24" s="7">
        <v>339107</v>
      </c>
      <c r="M24" s="7">
        <f>+L24-15638</f>
        <v>323469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231672</v>
      </c>
      <c r="K25" s="130">
        <f>+E25+J25</f>
        <v>231672</v>
      </c>
      <c r="L25" s="7"/>
      <c r="M25" s="7"/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310847</v>
      </c>
      <c r="K26" s="7">
        <v>276867</v>
      </c>
      <c r="L26" s="7">
        <v>813941</v>
      </c>
      <c r="M26" s="7">
        <f>+L26-181284</f>
        <v>632657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490163</v>
      </c>
      <c r="K27" s="53">
        <f>SUM(K28:K32)</f>
        <v>-101903</v>
      </c>
      <c r="L27" s="53">
        <f>SUM(L28:L32)</f>
        <v>628153</v>
      </c>
      <c r="M27" s="53">
        <f>SUM(M28:M32)</f>
        <v>-225011</v>
      </c>
    </row>
    <row r="28" spans="1:13" ht="26.25" customHeight="1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40335</v>
      </c>
      <c r="K28" s="7">
        <v>-183210</v>
      </c>
      <c r="L28" s="7"/>
      <c r="M28" s="7">
        <v>-3526</v>
      </c>
    </row>
    <row r="29" spans="1:13" ht="24" customHeight="1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f>289519+70114</f>
        <v>359633</v>
      </c>
      <c r="K29" s="7">
        <v>69073</v>
      </c>
      <c r="L29" s="7">
        <f>523+10751+39176</f>
        <v>50450</v>
      </c>
      <c r="M29" s="7">
        <f>+L29-338941</f>
        <v>-288491</v>
      </c>
    </row>
    <row r="30" spans="1:13" ht="27" customHeight="1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>
        <v>49215</v>
      </c>
      <c r="K30" s="7">
        <v>0</v>
      </c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>
        <v>36135</v>
      </c>
      <c r="K31" s="7">
        <v>12231</v>
      </c>
      <c r="L31" s="7">
        <v>543091</v>
      </c>
      <c r="M31" s="7">
        <f>+L31-510694</f>
        <v>32397</v>
      </c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>
        <v>4845</v>
      </c>
      <c r="K32" s="7">
        <v>3</v>
      </c>
      <c r="L32" s="7">
        <v>34612</v>
      </c>
      <c r="M32" s="7">
        <f>+L32-3</f>
        <v>34609</v>
      </c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76634</v>
      </c>
      <c r="K33" s="53">
        <f>SUM(K34:K37)</f>
        <v>-521935</v>
      </c>
      <c r="L33" s="53">
        <f>SUM(L34:L37)</f>
        <v>56516</v>
      </c>
      <c r="M33" s="53">
        <f>SUM(M34:M37)</f>
        <v>-350116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6064</v>
      </c>
      <c r="K34" s="7">
        <v>-539129</v>
      </c>
      <c r="L34" s="7"/>
      <c r="M34" s="7">
        <v>-5145</v>
      </c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f>813+69688</f>
        <v>70501</v>
      </c>
      <c r="K35" s="7">
        <v>17125</v>
      </c>
      <c r="L35" s="7">
        <v>1065</v>
      </c>
      <c r="M35" s="7">
        <f>+L35-325297</f>
        <v>-324232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>
        <v>0</v>
      </c>
      <c r="K36" s="7">
        <v>0</v>
      </c>
      <c r="L36" s="7">
        <v>54870</v>
      </c>
      <c r="M36" s="7">
        <f>+L36</f>
        <v>54870</v>
      </c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v>69</v>
      </c>
      <c r="K37" s="7">
        <v>69</v>
      </c>
      <c r="L37" s="7">
        <v>581</v>
      </c>
      <c r="M37" s="7">
        <f>+L37-76190</f>
        <v>-75609</v>
      </c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>
        <v>0</v>
      </c>
      <c r="K38" s="7">
        <v>0</v>
      </c>
      <c r="L38" s="7"/>
      <c r="M38" s="7"/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>
        <v>0</v>
      </c>
      <c r="K39" s="7">
        <v>0</v>
      </c>
      <c r="L39" s="7"/>
      <c r="M39" s="7"/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>
        <v>0</v>
      </c>
      <c r="K40" s="7">
        <v>-788</v>
      </c>
      <c r="L40" s="7"/>
      <c r="M40" s="7">
        <v>-215</v>
      </c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14318702</v>
      </c>
      <c r="K42" s="53">
        <f>K7+K27+K38+K40</f>
        <v>4246580</v>
      </c>
      <c r="L42" s="53">
        <f>L7+L27+L38+L40</f>
        <v>14807392</v>
      </c>
      <c r="M42" s="53">
        <f>M7+M27+M38+M40</f>
        <v>3238515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18723273</v>
      </c>
      <c r="K43" s="53">
        <f>K10+K33+K39+K41</f>
        <v>5520007</v>
      </c>
      <c r="L43" s="53">
        <f>L10+L33+L39+L41</f>
        <v>18474352</v>
      </c>
      <c r="M43" s="53">
        <f>M10+M33+M39+M41</f>
        <v>5076575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-4404571</v>
      </c>
      <c r="K44" s="53">
        <f>K42-K43</f>
        <v>-1273427</v>
      </c>
      <c r="L44" s="53">
        <f>L42-L43</f>
        <v>-3666960</v>
      </c>
      <c r="M44" s="53">
        <f>M42-M43</f>
        <v>-1838060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4404571</v>
      </c>
      <c r="K46" s="53">
        <f>IF(K43&gt;K42,K43-K42,0)</f>
        <v>1273427</v>
      </c>
      <c r="L46" s="53">
        <f>IF(L43&gt;L42,L43-L42,0)</f>
        <v>3666960</v>
      </c>
      <c r="M46" s="53">
        <f>IF(M43&gt;M42,M43-M42,0)</f>
        <v>1838060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-4404571</v>
      </c>
      <c r="K48" s="53">
        <f>K44-K47</f>
        <v>-1273427</v>
      </c>
      <c r="L48" s="53">
        <f>L44-L47</f>
        <v>-3666960</v>
      </c>
      <c r="M48" s="53">
        <f>M44-M47</f>
        <v>-1838060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1">
        <f>IF(J48&lt;0,-J48,0)</f>
        <v>4404571</v>
      </c>
      <c r="K50" s="61">
        <f>IF(K48&lt;0,-K48,0)</f>
        <v>1273427</v>
      </c>
      <c r="L50" s="61">
        <f>IF(L48&lt;0,-L48,0)</f>
        <v>3666960</v>
      </c>
      <c r="M50" s="61">
        <f>IF(M48&lt;0,-M48,0)</f>
        <v>1838060</v>
      </c>
    </row>
    <row r="51" spans="1:13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23"/>
      <c r="I56" s="9">
        <v>157</v>
      </c>
      <c r="J56" s="6"/>
      <c r="K56" s="6"/>
      <c r="L56" s="6"/>
      <c r="M56" s="6"/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5" t="s">
        <v>313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conditionalFormatting sqref="J8:J9">
    <cfRule type="cellIs" priority="1" dxfId="2" operator="notEqual" stopIfTrue="1">
      <formula>ROUND(J8,0)</formula>
    </cfRule>
    <cfRule type="cellIs" priority="2" dxfId="1" operator="lessThan" stopIfTrue="1">
      <formula>0</formula>
    </cfRule>
  </conditionalFormatting>
  <dataValidations count="2">
    <dataValidation allowBlank="1" sqref="A1:I65536 J10:J65536 J1:J7 L1:IV65536 K1:K24 K26:K65536"/>
    <dataValidation type="whole" operator="greaterThanOrEqual" allowBlank="1" showInputMessage="1" showErrorMessage="1" errorTitle="Pogrešan upis" error="Dopušten je upis samo pozitivnih cjelobrojnih vrijednosti" sqref="J8:J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J35" sqref="J35:K52"/>
    </sheetView>
  </sheetViews>
  <sheetFormatPr defaultColWidth="9.140625" defaultRowHeight="12.75"/>
  <cols>
    <col min="1" max="7" width="9.140625" style="52" customWidth="1"/>
    <col min="8" max="8" width="7.28125" style="52" customWidth="1"/>
    <col min="9" max="10" width="9.140625" style="52" customWidth="1"/>
    <col min="11" max="11" width="10.8515625" style="52" customWidth="1"/>
    <col min="12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338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f>+RDG!J48</f>
        <v>-4404571</v>
      </c>
      <c r="K7" s="7">
        <f>+RDG!L48</f>
        <v>-3666960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f>+RDG!J20</f>
        <v>1769212</v>
      </c>
      <c r="K8" s="7">
        <f>+RDG!L20</f>
        <v>1245185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f>4609351-4454454</f>
        <v>154897</v>
      </c>
      <c r="K9" s="7"/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>
        <v>732772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>
        <v>3355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f>8968780-8359396+1000</f>
        <v>610384</v>
      </c>
      <c r="K12" s="7">
        <f>2981798+55237-10496-486055</f>
        <v>2540484</v>
      </c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f>SUM(J7:J12)</f>
        <v>-1870078</v>
      </c>
      <c r="K13" s="53">
        <f>SUM(K7:K12)</f>
        <v>854836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>
        <v>3770576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f>2547338-1797791</f>
        <v>749547</v>
      </c>
      <c r="K15" s="7"/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13810</v>
      </c>
      <c r="K16" s="7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f>SUM(J14:J17)</f>
        <v>763357</v>
      </c>
      <c r="K18" s="53">
        <f>SUM(K14:K17)</f>
        <v>3770576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f>IF(J18&gt;J13,J18-J13,0)</f>
        <v>2633435</v>
      </c>
      <c r="K20" s="53">
        <f>IF(K18&gt;K13,K18-K13,0)</f>
        <v>2915740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58"/>
      <c r="J21" s="258"/>
      <c r="K21" s="259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788</v>
      </c>
      <c r="K22" s="7">
        <v>140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288228</v>
      </c>
      <c r="K24" s="7">
        <v>10496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>
        <v>49215</v>
      </c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11944134</v>
      </c>
      <c r="K26" s="7">
        <f>2005233-K24</f>
        <v>1994737</v>
      </c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f>SUM(J22:J26)</f>
        <v>12282365</v>
      </c>
      <c r="K27" s="53">
        <f>SUM(K22:K26)</f>
        <v>2005373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641880</v>
      </c>
      <c r="K28" s="7">
        <v>499964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>
        <v>38270</v>
      </c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>
        <v>9697649</v>
      </c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f>SUM(J28:J30)</f>
        <v>680150</v>
      </c>
      <c r="K31" s="53">
        <f>SUM(K28:K30)</f>
        <v>10197613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IF(J27&gt;J31,J27-J31,0)</f>
        <v>11602215</v>
      </c>
      <c r="K32" s="53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IF(J31&gt;J27,J31-J27,0)</f>
        <v>0</v>
      </c>
      <c r="K33" s="53">
        <f>IF(K31&gt;K27,K31-K27,0)</f>
        <v>8192240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58"/>
      <c r="J34" s="258"/>
      <c r="K34" s="259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/>
      <c r="K39" s="7"/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8968780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11107980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3021958</v>
      </c>
      <c r="K49" s="7">
        <v>11990738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f>+J47</f>
        <v>8968780</v>
      </c>
      <c r="K50" s="7">
        <f>-K48</f>
        <v>-11107980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15" t="s">
        <v>177</v>
      </c>
      <c r="B52" s="216"/>
      <c r="C52" s="216"/>
      <c r="D52" s="216"/>
      <c r="E52" s="216"/>
      <c r="F52" s="216"/>
      <c r="G52" s="216"/>
      <c r="H52" s="216"/>
      <c r="I52" s="4">
        <v>44</v>
      </c>
      <c r="J52" s="65">
        <f>J49+J50-J51</f>
        <v>11990738</v>
      </c>
      <c r="K52" s="61">
        <f>K49+K50-K51</f>
        <v>882758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53" sqref="A53:H5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2">
        <v>2</v>
      </c>
      <c r="J5" s="73" t="s">
        <v>283</v>
      </c>
      <c r="K5" s="73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4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58"/>
      <c r="J22" s="258"/>
      <c r="K22" s="259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58">
        <v>0</v>
      </c>
      <c r="J35" s="258"/>
      <c r="K35" s="259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30" sqref="M3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5"/>
    </row>
    <row r="2" spans="1:12" ht="15.75">
      <c r="A2" s="42"/>
      <c r="B2" s="74"/>
      <c r="C2" s="274" t="s">
        <v>282</v>
      </c>
      <c r="D2" s="274"/>
      <c r="E2" s="131" t="s">
        <v>325</v>
      </c>
      <c r="F2" s="43" t="s">
        <v>250</v>
      </c>
      <c r="G2" s="275" t="s">
        <v>326</v>
      </c>
      <c r="H2" s="276"/>
      <c r="I2" s="74"/>
      <c r="J2" s="74"/>
      <c r="K2" s="74"/>
      <c r="L2" s="77"/>
    </row>
    <row r="3" spans="1:11" ht="23.25">
      <c r="A3" s="277" t="s">
        <v>59</v>
      </c>
      <c r="B3" s="277"/>
      <c r="C3" s="277"/>
      <c r="D3" s="277"/>
      <c r="E3" s="277"/>
      <c r="F3" s="277"/>
      <c r="G3" s="277"/>
      <c r="H3" s="277"/>
      <c r="I3" s="80" t="s">
        <v>305</v>
      </c>
      <c r="J3" s="81" t="s">
        <v>150</v>
      </c>
      <c r="K3" s="81" t="s">
        <v>151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3">
        <v>2</v>
      </c>
      <c r="J4" s="82" t="s">
        <v>283</v>
      </c>
      <c r="K4" s="82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46357000</v>
      </c>
      <c r="K5" s="45">
        <f>+J5</f>
        <v>46357000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13860181</v>
      </c>
      <c r="K6" s="46">
        <f>+J6</f>
        <v>13860181</v>
      </c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141000</v>
      </c>
      <c r="K7" s="46">
        <f>+J7</f>
        <v>141000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f>-13837569-4404571</f>
        <v>-18242140</v>
      </c>
      <c r="K8" s="46">
        <f>-18242141-3666960</f>
        <v>-21909101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/>
      <c r="K9" s="46"/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/>
      <c r="K10" s="46"/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8">
        <f>SUM(J5:J13)</f>
        <v>42116041</v>
      </c>
      <c r="K14" s="78">
        <f>SUM(K5:K13)</f>
        <v>38449080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7">
        <v>18</v>
      </c>
      <c r="J23" s="45"/>
      <c r="K23" s="45"/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48">
        <v>19</v>
      </c>
      <c r="J24" s="79"/>
      <c r="K24" s="79"/>
    </row>
    <row r="25" spans="1:11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2018-02-15T00:11:42Z</cp:lastPrinted>
  <dcterms:created xsi:type="dcterms:W3CDTF">2008-10-17T11:51:54Z</dcterms:created>
  <dcterms:modified xsi:type="dcterms:W3CDTF">2018-02-19T11:20:27Z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