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41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<sst xmlns="http://schemas.openxmlformats.org/spreadsheetml/2006/main" count="397" uniqueCount="346">
  <si>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</si>
  <si>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</si>
  <si>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</si>
  <si>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</si>
  <si>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</si>
  <si>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</si>
  <si>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</si>
  <si>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</si>
  <si>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</si>
  <si>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</si>
  <si>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</si>
  <si>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</si>
  <si>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</si>
  <si>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</si>
  <si>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</si>
  <si>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</si>
  <si>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</si>
  <si>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</si>
  <si>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</si>
  <si>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</si>
  <si>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</si>
  <si>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</si>
  <si>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</si>
  <si>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</si>
  <si>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</si>
  <si>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</si>
  <si>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</si>
  <si>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</si>
  <si>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</si>
  <si>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</si>
  <si>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</si>
  <si>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</si>
  <si>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</si>
  <si>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</si>
  <si>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</si>
  <si>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</si>
  <si>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</si>
  <si>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</si>
  <si>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</si>
  <si>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</si>
  <si>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</si>
  <si>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</si>
  <si>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</si>
  <si>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</si>
  <si>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</si>
  <si>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</si>
  <si>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</si>
  <si>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</si>
  <si>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</si>
  <si>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</si>
  <si>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</si>
  <si>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</si>
  <si>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</si>
  <si>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</si>
  <si>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</si>
  <si>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</si>
  <si>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</si>
  <si>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</si>
  <si>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</si>
  <si>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</si>
  <si>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</si>
  <si>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</si>
  <si>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</si>
  <si>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</si>
  <si>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</si>
  <si>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</si>
  <si>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</si>
  <si>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</si>
  <si>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</si>
  <si>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</si>
  <si>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</si>
  <si>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</si>
  <si>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</si>
  <si>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</si>
  <si>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</si>
  <si>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</si>
  <si>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</si>
  <si>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</si>
  <si>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</si>
  <si>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</si>
  <si>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</si>
  <si>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</si>
  <si>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</si>
  <si>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</si>
  <si>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</si>
  <si>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</si>
  <si>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</si>
  <si>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</si>
  <si>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</si>
  <si>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</si>
  <si>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</si>
  <si>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</si>
  <si>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</si>
  <si>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</si>
  <si>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</si>
  <si>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</si>
  <si>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</si>
  <si>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</si>
  <si>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</si>
  <si>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</si>
  <si>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</si>
  <si>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</si>
  <si>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</si>
  <si>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</si>
  <si>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</si>
  <si>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</si>
  <si>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</si>
  <si>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</si>
  <si>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</si>
  <si>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</si>
  <si>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</si>
  <si>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</si>
  <si>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</si>
  <si>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</si>
  <si>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</si>
  <si>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</si>
  <si>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</si>
  <si>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</si>
  <si>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</si>
  <si>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</si>
  <si>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</si>
  <si>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</si>
  <si>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</si>
  <si>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</si>
  <si>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</si>
  <si>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</si>
  <si>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</si>
  <si>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</si>
  <si>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</si>
  <si>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</si>
  <si>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</si>
  <si>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</si>
  <si>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</si>
  <si>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</si>
  <si>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</si>
  <si>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</si>
  <si>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</si>
  <si>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</si>
  <si>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</si>
  <si>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</si>
  <si>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</si>
  <si>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</si>
  <si>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</si>
  <si>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</si>
  <si>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</si>
  <si>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</si>
  <si>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</si>
  <si>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</si>
  <si>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</si>
  <si>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</si>
  <si>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</si>
  <si>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</si>
  <si>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</si>
  <si>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</si>
  <si>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</si>
  <si>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</si>
  <si>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</si>
  <si>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</si>
  <si>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</si>
  <si>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</si>
  <si>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</si>
  <si>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</si>
  <si>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</si>
  <si>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</si>
  <si>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</si>
  <si>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</si>
  <si>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</si>
  <si>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</si>
  <si>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</si>
  <si>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</si>
  <si>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</si>
  <si>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</si>
  <si>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</si>
  <si>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</si>
  <si>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</si>
  <si>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</si>
  <si>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</si>
  <si>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</si>
  <si>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</si>
  <si>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</si>
  <si>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</si>
  <si>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</si>
  <si>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</si>
  <si>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</si>
  <si>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</si>
  <si>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</si>
  <si>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</si>
  <si>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</si>
  <si>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</si>
  <si>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</si>
  <si>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</si>
  <si>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</si>
  <si>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</si>
  <si>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</si>
  <si>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</si>
  <si>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</si>
  <si>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</si>
  <si>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</si>
  <si>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</si>
  <si>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</si>
  <si>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</si>
  <si>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</si>
  <si>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</si>
  <si>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</si>
  <si>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</si>
  <si>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</si>
  <si>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</si>
  <si>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</si>
  <si>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</si>
  <si>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</si>
  <si>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</si>
  <si>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</si>
  <si>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</si>
  <si>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</si>
  <si>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</si>
  <si>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</si>
  <si>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</si>
  <si>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</si>
  <si>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</si>
  <si>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</si>
  <si>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</si>
  <si>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</si>
  <si>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</si>
  <si>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</si>
  <si>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</si>
  <si>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</si>
  <si>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</si>
  <si>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</si>
  <si>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</si>
  <si>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</si>
  <si>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</si>
  <si>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</si>
  <si>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</si>
  <si>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</si>
  <si>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</si>
  <si>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</si>
  <si>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</si>
  <si>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</si>
  <si>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</si>
  <si>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</si>
  <si>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</si>
  <si>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</si>
  <si>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</si>
  <si>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</si>
  <si>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</si>
  <si>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</si>
  <si>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</si>
  <si>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</si>
  <si>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</si>
  <si>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</si>
  <si>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</si>
  <si>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</si>
  <si>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</si>
  <si>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</si>
  <si>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</si>
  <si>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</si>
  <si>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</si>
  <si>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</si>
  <si>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</si>
  <si>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</si>
  <si>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</si>
  <si>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</si>
  <si>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</si>
  <si>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</si>
  <si>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</si>
  <si>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</si>
  <si>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</si>
  <si>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</si>
  <si>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</si>
  <si>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</si>
  <si>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</si>
  <si>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</si>
  <si>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</si>
  <si>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</si>
  <si>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</si>
  <si>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</si>
  <si>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</si>
  <si>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</si>
  <si>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</si>
  <si>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</si>
  <si>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</si>
  <si>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</si>
  <si>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</si>
  <si>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</si>
  <si>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</si>
  <si>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</si>
  <si>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</si>
  <si>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</si>
  <si>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</si>
  <si>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</si>
  <si>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</si>
  <si>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</si>
  <si>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</si>
  <si>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</si>
  <si>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</si>
  <si>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</si>
  <si>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</si>
  <si>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</si>
  <si>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</si>
  <si>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</si>
  <si>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</si>
  <si>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</si>
  <si>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</si>
  <si>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</si>
  <si>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</si>
  <si>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</si>
  <si>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</si>
  <si>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</si>
  <si>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</si>
  <si>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</si>
  <si>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</si>
  <si>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</si>
  <si>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</si>
  <si>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</si>
  <si>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</si>
  <si>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</si>
  <si>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</si>
  <si>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</si>
  <si>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</si>
  <si>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</si>
  <si>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03333710</t>
  </si>
  <si>
    <t>040000358</t>
  </si>
  <si>
    <t>27531244647</t>
  </si>
  <si>
    <t>Brodogradilište Viktor Lenac d.d.</t>
  </si>
  <si>
    <t>Martinšćica bb</t>
  </si>
  <si>
    <t>viktor.lenac@lenac.hr</t>
  </si>
  <si>
    <t>www.lenac.hr</t>
  </si>
  <si>
    <t>Primorsko-Goranska</t>
  </si>
  <si>
    <t>NE</t>
  </si>
  <si>
    <t>3011</t>
  </si>
  <si>
    <t>Divna Pjevalica</t>
  </si>
  <si>
    <t>051/405-616</t>
  </si>
  <si>
    <t>051/217-304</t>
  </si>
  <si>
    <t>Sandra Uzelac; Aljoša Pavelin</t>
  </si>
  <si>
    <t>Obveznik: Brodogradilište Viktor Lenac d.d.</t>
  </si>
  <si>
    <t>Obveznik:  Brodogradilište Viktor Lenac d.d.</t>
  </si>
  <si>
    <t>A)  KAPITAL I REZERVE (063+064+065+071+072+075+078)</t>
  </si>
  <si>
    <t>AKTIVA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</si>
  <si>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</si>
  <si>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</si>
  <si>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>divna.pjevalica@lenac.hr</t>
  </si>
  <si>
    <t>1.1.2018.</t>
  </si>
  <si>
    <t>Rijeka</t>
  </si>
  <si>
    <t>u razdoblju 01.01.2018. do 31.12.2018.</t>
  </si>
  <si>
    <t>stanje na dan 31.12.2018</t>
  </si>
  <si>
    <t>31.12.2018.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</si>
</sst>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0.0%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2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2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2" xfId="57" applyFont="1" applyFill="1" applyBorder="1" applyAlignment="1" applyProtection="1">
      <alignment horizontal="center" vertical="center"/>
      <protection hidden="1" locked="0"/>
    </xf>
    <xf numFmtId="49" fontId="2" fillId="0" borderId="22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14" fillId="0" borderId="22" xfId="0" applyFont="1" applyFill="1" applyBorder="1" applyAlignment="1" applyProtection="1">
      <alignment horizontal="center" vertical="center" wrapText="1"/>
      <protection hidden="1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>
      <alignment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1" fontId="2" fillId="0" borderId="26" xfId="57" applyNumberFormat="1" applyFont="1" applyFill="1" applyBorder="1" applyAlignment="1" applyProtection="1">
      <alignment horizontal="left" vertical="center"/>
      <protection hidden="1" locked="0"/>
    </xf>
    <xf numFmtId="1" fontId="2" fillId="0" borderId="27" xfId="57" applyNumberFormat="1" applyFont="1" applyFill="1" applyBorder="1" applyAlignment="1" applyProtection="1">
      <alignment horizontal="left" vertical="center"/>
      <protection hidden="1" locked="0"/>
    </xf>
    <xf numFmtId="1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14" fillId="0" borderId="22" xfId="0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57" fillId="34" borderId="29" xfId="0" applyFont="1" applyFill="1" applyBorder="1" applyAlignment="1" applyProtection="1">
      <alignment vertical="center" wrapText="1"/>
      <protection hidden="1"/>
    </xf>
    <xf numFmtId="0" fontId="57" fillId="34" borderId="37" xfId="0" applyFont="1" applyFill="1" applyBorder="1" applyAlignment="1" applyProtection="1">
      <alignment vertical="center" wrapText="1"/>
      <protection hidden="1"/>
    </xf>
    <xf numFmtId="0" fontId="57" fillId="34" borderId="38" xfId="0" applyFont="1" applyFill="1" applyBorder="1" applyAlignment="1" applyProtection="1">
      <alignment vertical="center" wrapText="1"/>
      <protection hidden="1"/>
    </xf>
    <xf numFmtId="0" fontId="2" fillId="33" borderId="29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2" fillId="33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57" fillId="35" borderId="26" xfId="0" applyFont="1" applyFill="1" applyBorder="1" applyAlignment="1" applyProtection="1">
      <alignment horizontal="left" vertical="center" wrapText="1"/>
      <protection hidden="1"/>
    </xf>
    <xf numFmtId="0" fontId="57" fillId="35" borderId="27" xfId="0" applyFont="1" applyFill="1" applyBorder="1" applyAlignment="1" applyProtection="1">
      <alignment horizontal="left" vertical="center" wrapText="1"/>
      <protection hidden="1"/>
    </xf>
    <xf numFmtId="0" fontId="57" fillId="35" borderId="28" xfId="0" applyFont="1" applyFill="1" applyBorder="1" applyAlignment="1" applyProtection="1">
      <alignment horizontal="left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58" fillId="34" borderId="29" xfId="0" applyFont="1" applyFill="1" applyBorder="1" applyAlignment="1" applyProtection="1">
      <alignment vertical="center" wrapText="1"/>
      <protection hidden="1"/>
    </xf>
    <xf numFmtId="0" fontId="58" fillId="34" borderId="37" xfId="0" applyFont="1" applyFill="1" applyBorder="1" applyAlignment="1" applyProtection="1">
      <alignment vertical="center" wrapText="1"/>
      <protection hidden="1"/>
    </xf>
    <xf numFmtId="0" fontId="58" fillId="34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vertical="center" wrapText="1"/>
    </xf>
    <xf numFmtId="0" fontId="0" fillId="33" borderId="38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.lenac@lenac.hr" TargetMode="External" /><Relationship Id="rId2" Type="http://schemas.openxmlformats.org/officeDocument/2006/relationships/hyperlink" Target="http://www.lenac.hr/" TargetMode="External" /><Relationship Id="rId3" Type="http://schemas.openxmlformats.org/officeDocument/2006/relationships/hyperlink" Target="mailto:divna.pjevalica@lenac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view="pageBreakPreview" zoomScale="110" zoomScaleSheetLayoutView="110" zoomScalePageLayoutView="0" workbookViewId="0" topLeftCell="A1">
      <selection activeCell="F37" sqref="F37:G3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21.421875" style="11" customWidth="1"/>
    <col min="9" max="9" width="14.421875" style="11" customWidth="1"/>
    <col min="10" max="16384" width="9.140625" style="11" customWidth="1"/>
  </cols>
  <sheetData>
    <row r="1" spans="1:12" ht="15.75">
      <c r="A1" s="151" t="s">
        <v>245</v>
      </c>
      <c r="B1" s="152"/>
      <c r="C1" s="152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92" t="s">
        <v>246</v>
      </c>
      <c r="B2" s="193"/>
      <c r="C2" s="193"/>
      <c r="D2" s="194"/>
      <c r="E2" s="113">
        <v>43101</v>
      </c>
      <c r="F2" s="12"/>
      <c r="G2" s="13" t="s">
        <v>247</v>
      </c>
      <c r="H2" s="113">
        <v>43465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95" t="s">
        <v>314</v>
      </c>
      <c r="B4" s="196"/>
      <c r="C4" s="196"/>
      <c r="D4" s="196"/>
      <c r="E4" s="196"/>
      <c r="F4" s="196"/>
      <c r="G4" s="196"/>
      <c r="H4" s="196"/>
      <c r="I4" s="197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42" t="s">
        <v>248</v>
      </c>
      <c r="B6" s="143"/>
      <c r="C6" s="157" t="s">
        <v>320</v>
      </c>
      <c r="D6" s="158"/>
      <c r="E6" s="29"/>
      <c r="F6" s="29"/>
      <c r="G6" s="29"/>
      <c r="H6" s="29"/>
      <c r="I6" s="86"/>
      <c r="J6" s="10"/>
      <c r="K6" s="10"/>
      <c r="L6" s="10"/>
    </row>
    <row r="7" spans="1:12" ht="12.75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.75">
      <c r="A8" s="198" t="s">
        <v>249</v>
      </c>
      <c r="B8" s="199"/>
      <c r="C8" s="157" t="s">
        <v>321</v>
      </c>
      <c r="D8" s="158"/>
      <c r="E8" s="29"/>
      <c r="F8" s="29"/>
      <c r="G8" s="29"/>
      <c r="H8" s="29"/>
      <c r="I8" s="88"/>
      <c r="J8" s="10"/>
      <c r="K8" s="10"/>
      <c r="L8" s="10"/>
    </row>
    <row r="9" spans="1:12" ht="12.75">
      <c r="A9" s="89"/>
      <c r="B9" s="50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37" t="s">
        <v>250</v>
      </c>
      <c r="B10" s="190"/>
      <c r="C10" s="157" t="s">
        <v>322</v>
      </c>
      <c r="D10" s="158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91"/>
      <c r="B11" s="190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42" t="s">
        <v>251</v>
      </c>
      <c r="B12" s="143"/>
      <c r="C12" s="159" t="s">
        <v>323</v>
      </c>
      <c r="D12" s="187"/>
      <c r="E12" s="187"/>
      <c r="F12" s="187"/>
      <c r="G12" s="187"/>
      <c r="H12" s="187"/>
      <c r="I12" s="145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42" t="s">
        <v>252</v>
      </c>
      <c r="B14" s="143"/>
      <c r="C14" s="188">
        <v>51000</v>
      </c>
      <c r="D14" s="189"/>
      <c r="E14" s="16"/>
      <c r="F14" s="159" t="s">
        <v>342</v>
      </c>
      <c r="G14" s="187"/>
      <c r="H14" s="187"/>
      <c r="I14" s="145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42" t="s">
        <v>253</v>
      </c>
      <c r="B16" s="143"/>
      <c r="C16" s="159" t="s">
        <v>324</v>
      </c>
      <c r="D16" s="187"/>
      <c r="E16" s="187"/>
      <c r="F16" s="187"/>
      <c r="G16" s="187"/>
      <c r="H16" s="187"/>
      <c r="I16" s="145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42" t="s">
        <v>254</v>
      </c>
      <c r="B18" s="143"/>
      <c r="C18" s="181" t="s">
        <v>325</v>
      </c>
      <c r="D18" s="182"/>
      <c r="E18" s="182"/>
      <c r="F18" s="182"/>
      <c r="G18" s="182"/>
      <c r="H18" s="182"/>
      <c r="I18" s="183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42" t="s">
        <v>255</v>
      </c>
      <c r="B20" s="143"/>
      <c r="C20" s="181" t="s">
        <v>326</v>
      </c>
      <c r="D20" s="182"/>
      <c r="E20" s="182"/>
      <c r="F20" s="182"/>
      <c r="G20" s="182"/>
      <c r="H20" s="182"/>
      <c r="I20" s="183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42" t="s">
        <v>256</v>
      </c>
      <c r="B22" s="143"/>
      <c r="C22" s="114">
        <v>373</v>
      </c>
      <c r="D22" s="159"/>
      <c r="E22" s="184"/>
      <c r="F22" s="185"/>
      <c r="G22" s="142"/>
      <c r="H22" s="186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42" t="s">
        <v>257</v>
      </c>
      <c r="B24" s="143"/>
      <c r="C24" s="178" t="s">
        <v>327</v>
      </c>
      <c r="D24" s="179"/>
      <c r="E24" s="179"/>
      <c r="F24" s="179"/>
      <c r="G24" s="180"/>
      <c r="H24" s="51" t="s">
        <v>258</v>
      </c>
      <c r="I24" s="115">
        <v>441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315</v>
      </c>
      <c r="I25" s="91"/>
      <c r="J25" s="10"/>
      <c r="K25" s="10"/>
      <c r="L25" s="10"/>
    </row>
    <row r="26" spans="1:12" ht="12.75">
      <c r="A26" s="142" t="s">
        <v>259</v>
      </c>
      <c r="B26" s="143"/>
      <c r="C26" s="116" t="s">
        <v>328</v>
      </c>
      <c r="D26" s="25"/>
      <c r="E26" s="33"/>
      <c r="F26" s="24"/>
      <c r="G26" s="170" t="s">
        <v>260</v>
      </c>
      <c r="H26" s="143"/>
      <c r="I26" s="117" t="s">
        <v>329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71" t="s">
        <v>261</v>
      </c>
      <c r="B28" s="172"/>
      <c r="C28" s="173"/>
      <c r="D28" s="173"/>
      <c r="E28" s="174" t="s">
        <v>262</v>
      </c>
      <c r="F28" s="175"/>
      <c r="G28" s="175"/>
      <c r="H28" s="176" t="s">
        <v>263</v>
      </c>
      <c r="I28" s="177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67"/>
      <c r="B30" s="160"/>
      <c r="C30" s="160"/>
      <c r="D30" s="161"/>
      <c r="E30" s="167"/>
      <c r="F30" s="160"/>
      <c r="G30" s="160"/>
      <c r="H30" s="157"/>
      <c r="I30" s="158"/>
      <c r="J30" s="10"/>
      <c r="K30" s="10"/>
      <c r="L30" s="10"/>
    </row>
    <row r="31" spans="1:12" ht="12.75">
      <c r="A31" s="87"/>
      <c r="B31" s="22"/>
      <c r="C31" s="21"/>
      <c r="D31" s="168"/>
      <c r="E31" s="168"/>
      <c r="F31" s="168"/>
      <c r="G31" s="169"/>
      <c r="H31" s="16"/>
      <c r="I31" s="94"/>
      <c r="J31" s="10"/>
      <c r="K31" s="10"/>
      <c r="L31" s="10"/>
    </row>
    <row r="32" spans="1:12" ht="12.75">
      <c r="A32" s="167"/>
      <c r="B32" s="160"/>
      <c r="C32" s="160"/>
      <c r="D32" s="161"/>
      <c r="E32" s="167"/>
      <c r="F32" s="160"/>
      <c r="G32" s="160"/>
      <c r="H32" s="157"/>
      <c r="I32" s="158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67"/>
      <c r="B34" s="160"/>
      <c r="C34" s="160"/>
      <c r="D34" s="161"/>
      <c r="E34" s="167"/>
      <c r="F34" s="160"/>
      <c r="G34" s="160"/>
      <c r="H34" s="157"/>
      <c r="I34" s="158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67"/>
      <c r="B36" s="160"/>
      <c r="C36" s="160"/>
      <c r="D36" s="161"/>
      <c r="E36" s="167"/>
      <c r="F36" s="160"/>
      <c r="G36" s="160"/>
      <c r="H36" s="157"/>
      <c r="I36" s="158"/>
      <c r="J36" s="10"/>
      <c r="K36" s="10"/>
      <c r="L36" s="10"/>
    </row>
    <row r="37" spans="1:12" ht="12.75">
      <c r="A37" s="96"/>
      <c r="B37" s="30"/>
      <c r="C37" s="162"/>
      <c r="D37" s="163"/>
      <c r="E37" s="16"/>
      <c r="F37" s="162"/>
      <c r="G37" s="163"/>
      <c r="H37" s="16"/>
      <c r="I37" s="88"/>
      <c r="J37" s="10"/>
      <c r="K37" s="10"/>
      <c r="L37" s="10"/>
    </row>
    <row r="38" spans="1:12" ht="12.75">
      <c r="A38" s="167"/>
      <c r="B38" s="160"/>
      <c r="C38" s="160"/>
      <c r="D38" s="161"/>
      <c r="E38" s="167"/>
      <c r="F38" s="160"/>
      <c r="G38" s="160"/>
      <c r="H38" s="157"/>
      <c r="I38" s="158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67"/>
      <c r="B40" s="160"/>
      <c r="C40" s="160"/>
      <c r="D40" s="161"/>
      <c r="E40" s="167"/>
      <c r="F40" s="160"/>
      <c r="G40" s="160"/>
      <c r="H40" s="157"/>
      <c r="I40" s="158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97"/>
      <c r="J41" s="10"/>
      <c r="K41" s="10"/>
      <c r="L41" s="10"/>
    </row>
    <row r="42" spans="1:12" ht="12.75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.75">
      <c r="A44" s="137" t="s">
        <v>264</v>
      </c>
      <c r="B44" s="138"/>
      <c r="C44" s="157"/>
      <c r="D44" s="158"/>
      <c r="E44" s="26"/>
      <c r="F44" s="159"/>
      <c r="G44" s="160"/>
      <c r="H44" s="160"/>
      <c r="I44" s="161"/>
      <c r="J44" s="10"/>
      <c r="K44" s="10"/>
      <c r="L44" s="10"/>
    </row>
    <row r="45" spans="1:12" ht="12.75">
      <c r="A45" s="96"/>
      <c r="B45" s="30"/>
      <c r="C45" s="162"/>
      <c r="D45" s="163"/>
      <c r="E45" s="16"/>
      <c r="F45" s="162"/>
      <c r="G45" s="164"/>
      <c r="H45" s="35"/>
      <c r="I45" s="100"/>
      <c r="J45" s="10"/>
      <c r="K45" s="10"/>
      <c r="L45" s="10"/>
    </row>
    <row r="46" spans="1:12" ht="12.75">
      <c r="A46" s="137" t="s">
        <v>265</v>
      </c>
      <c r="B46" s="138"/>
      <c r="C46" s="159" t="s">
        <v>330</v>
      </c>
      <c r="D46" s="165"/>
      <c r="E46" s="165"/>
      <c r="F46" s="165"/>
      <c r="G46" s="165"/>
      <c r="H46" s="165"/>
      <c r="I46" s="166"/>
      <c r="J46" s="10"/>
      <c r="K46" s="10"/>
      <c r="L46" s="10"/>
    </row>
    <row r="47" spans="1:12" ht="12.75">
      <c r="A47" s="87"/>
      <c r="B47" s="22"/>
      <c r="C47" s="21" t="s">
        <v>266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37" t="s">
        <v>267</v>
      </c>
      <c r="B48" s="138"/>
      <c r="C48" s="144" t="s">
        <v>331</v>
      </c>
      <c r="D48" s="140"/>
      <c r="E48" s="141"/>
      <c r="F48" s="16"/>
      <c r="G48" s="51" t="s">
        <v>268</v>
      </c>
      <c r="H48" s="144" t="s">
        <v>332</v>
      </c>
      <c r="I48" s="141"/>
      <c r="J48" s="10"/>
      <c r="K48" s="10"/>
      <c r="L48" s="10"/>
    </row>
    <row r="49" spans="1:12" ht="12.75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37" t="s">
        <v>254</v>
      </c>
      <c r="B50" s="138"/>
      <c r="C50" s="139" t="s">
        <v>340</v>
      </c>
      <c r="D50" s="140"/>
      <c r="E50" s="140"/>
      <c r="F50" s="140"/>
      <c r="G50" s="140"/>
      <c r="H50" s="140"/>
      <c r="I50" s="141"/>
      <c r="J50" s="10"/>
      <c r="K50" s="10"/>
      <c r="L50" s="10"/>
    </row>
    <row r="51" spans="1:12" ht="12.75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42" t="s">
        <v>269</v>
      </c>
      <c r="B52" s="143"/>
      <c r="C52" s="144" t="s">
        <v>333</v>
      </c>
      <c r="D52" s="140"/>
      <c r="E52" s="140"/>
      <c r="F52" s="140"/>
      <c r="G52" s="140"/>
      <c r="H52" s="140"/>
      <c r="I52" s="145"/>
      <c r="J52" s="10"/>
      <c r="K52" s="10"/>
      <c r="L52" s="10"/>
    </row>
    <row r="53" spans="1:12" ht="12.75">
      <c r="A53" s="101"/>
      <c r="B53" s="20"/>
      <c r="C53" s="153" t="s">
        <v>270</v>
      </c>
      <c r="D53" s="153"/>
      <c r="E53" s="153"/>
      <c r="F53" s="153"/>
      <c r="G53" s="153"/>
      <c r="H53" s="153"/>
      <c r="I53" s="102"/>
      <c r="J53" s="10"/>
      <c r="K53" s="10"/>
      <c r="L53" s="10"/>
    </row>
    <row r="54" spans="1:12" ht="12.75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46" t="s">
        <v>271</v>
      </c>
      <c r="C55" s="147"/>
      <c r="D55" s="147"/>
      <c r="E55" s="147"/>
      <c r="F55" s="49"/>
      <c r="G55" s="49"/>
      <c r="H55" s="49"/>
      <c r="I55" s="103"/>
      <c r="J55" s="10"/>
      <c r="K55" s="10"/>
      <c r="L55" s="10"/>
    </row>
    <row r="56" spans="1:12" ht="12.75">
      <c r="A56" s="101"/>
      <c r="B56" s="148" t="s">
        <v>303</v>
      </c>
      <c r="C56" s="149"/>
      <c r="D56" s="149"/>
      <c r="E56" s="149"/>
      <c r="F56" s="149"/>
      <c r="G56" s="149"/>
      <c r="H56" s="149"/>
      <c r="I56" s="150"/>
      <c r="J56" s="10"/>
      <c r="K56" s="10"/>
      <c r="L56" s="10"/>
    </row>
    <row r="57" spans="1:12" ht="12.75">
      <c r="A57" s="101"/>
      <c r="B57" s="148" t="s">
        <v>304</v>
      </c>
      <c r="C57" s="149"/>
      <c r="D57" s="149"/>
      <c r="E57" s="149"/>
      <c r="F57" s="149"/>
      <c r="G57" s="149"/>
      <c r="H57" s="149"/>
      <c r="I57" s="103"/>
      <c r="J57" s="10"/>
      <c r="K57" s="10"/>
      <c r="L57" s="10"/>
    </row>
    <row r="58" spans="1:12" ht="12.75">
      <c r="A58" s="101"/>
      <c r="B58" s="148" t="s">
        <v>305</v>
      </c>
      <c r="C58" s="149"/>
      <c r="D58" s="149"/>
      <c r="E58" s="149"/>
      <c r="F58" s="149"/>
      <c r="G58" s="149"/>
      <c r="H58" s="149"/>
      <c r="I58" s="150"/>
      <c r="J58" s="10"/>
      <c r="K58" s="10"/>
      <c r="L58" s="10"/>
    </row>
    <row r="59" spans="1:12" ht="12.75">
      <c r="A59" s="101"/>
      <c r="B59" s="148" t="s">
        <v>306</v>
      </c>
      <c r="C59" s="149"/>
      <c r="D59" s="149"/>
      <c r="E59" s="149"/>
      <c r="F59" s="149"/>
      <c r="G59" s="149"/>
      <c r="H59" s="149"/>
      <c r="I59" s="150"/>
      <c r="J59" s="10"/>
      <c r="K59" s="10"/>
      <c r="L59" s="10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10"/>
      <c r="K60" s="10"/>
      <c r="L60" s="10"/>
    </row>
    <row r="61" spans="1:12" ht="13.5" thickBot="1">
      <c r="A61" s="107" t="s">
        <v>272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273</v>
      </c>
      <c r="F62" s="33"/>
      <c r="G62" s="154" t="s">
        <v>274</v>
      </c>
      <c r="H62" s="155"/>
      <c r="I62" s="156"/>
      <c r="J62" s="10"/>
      <c r="K62" s="10"/>
      <c r="L62" s="10"/>
    </row>
    <row r="63" spans="1:12" ht="12.75">
      <c r="A63" s="109"/>
      <c r="B63" s="110"/>
      <c r="C63" s="111"/>
      <c r="D63" s="111"/>
      <c r="E63" s="111"/>
      <c r="F63" s="111"/>
      <c r="G63" s="135"/>
      <c r="H63" s="136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A26:B26"/>
    <mergeCell ref="G26:H26"/>
    <mergeCell ref="A28:D28"/>
    <mergeCell ref="E28:G28"/>
    <mergeCell ref="H28:I28"/>
    <mergeCell ref="C24:G24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ktor.lenac@lenac.hr"/>
    <hyperlink ref="C20" r:id="rId2" display="www.lenac.hr"/>
    <hyperlink ref="C50" r:id="rId3" display="divna.pjevalica@lenac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showGridLines="0" view="pageBreakPreview" zoomScale="110" zoomScaleSheetLayoutView="110" zoomScalePageLayoutView="0" workbookViewId="0" topLeftCell="A1">
      <selection activeCell="A9" sqref="A9:H9"/>
    </sheetView>
  </sheetViews>
  <sheetFormatPr defaultColWidth="9.140625" defaultRowHeight="12.75" outlineLevelRow="1"/>
  <cols>
    <col min="1" max="7" width="9.140625" style="52" customWidth="1"/>
    <col min="8" max="8" width="15.140625" style="52" customWidth="1"/>
    <col min="9" max="9" width="9.140625" style="52" customWidth="1"/>
    <col min="10" max="11" width="9.8515625" style="52" bestFit="1" customWidth="1"/>
    <col min="12" max="16384" width="9.140625" style="52" customWidth="1"/>
  </cols>
  <sheetData>
    <row r="1" spans="1:11" ht="16.5" customHeight="1">
      <c r="A1" s="210" t="s">
        <v>153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</row>
    <row r="2" spans="1:11" ht="12.75" customHeight="1">
      <c r="A2" s="213" t="s">
        <v>344</v>
      </c>
      <c r="B2" s="214"/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2.75">
      <c r="A3" s="216" t="s">
        <v>334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 ht="22.5">
      <c r="A4" s="219" t="s">
        <v>59</v>
      </c>
      <c r="B4" s="220"/>
      <c r="C4" s="220"/>
      <c r="D4" s="220"/>
      <c r="E4" s="220"/>
      <c r="F4" s="220"/>
      <c r="G4" s="220"/>
      <c r="H4" s="221"/>
      <c r="I4" s="129" t="s">
        <v>275</v>
      </c>
      <c r="J4" s="130" t="s">
        <v>316</v>
      </c>
      <c r="K4" s="131" t="s">
        <v>317</v>
      </c>
    </row>
    <row r="5" spans="1:11" s="128" customFormat="1" ht="9.75">
      <c r="A5" s="200">
        <v>1</v>
      </c>
      <c r="B5" s="200"/>
      <c r="C5" s="200"/>
      <c r="D5" s="200"/>
      <c r="E5" s="200"/>
      <c r="F5" s="200"/>
      <c r="G5" s="200"/>
      <c r="H5" s="200"/>
      <c r="I5" s="127">
        <v>2</v>
      </c>
      <c r="J5" s="126">
        <v>3</v>
      </c>
      <c r="K5" s="126">
        <v>4</v>
      </c>
    </row>
    <row r="6" spans="1:11" ht="12.75" outlineLevel="1">
      <c r="A6" s="201" t="s">
        <v>337</v>
      </c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2.75" outlineLevel="1">
      <c r="A7" s="204" t="s">
        <v>60</v>
      </c>
      <c r="B7" s="205"/>
      <c r="C7" s="205"/>
      <c r="D7" s="205"/>
      <c r="E7" s="205"/>
      <c r="F7" s="205"/>
      <c r="G7" s="205"/>
      <c r="H7" s="206"/>
      <c r="I7" s="3">
        <v>1</v>
      </c>
      <c r="J7" s="6"/>
      <c r="K7" s="6"/>
    </row>
    <row r="8" spans="1:11" ht="12.75" outlineLevel="1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121">
        <f>J9+J16+J26+J35+J39</f>
        <v>294254725</v>
      </c>
      <c r="K8" s="121">
        <f>K9+K16+K26+K35+K39</f>
        <v>292880032</v>
      </c>
    </row>
    <row r="9" spans="1:11" ht="12.75" outlineLevel="1">
      <c r="A9" s="207" t="s">
        <v>203</v>
      </c>
      <c r="B9" s="208"/>
      <c r="C9" s="208"/>
      <c r="D9" s="208"/>
      <c r="E9" s="208"/>
      <c r="F9" s="208"/>
      <c r="G9" s="208"/>
      <c r="H9" s="209"/>
      <c r="I9" s="1">
        <v>3</v>
      </c>
      <c r="J9" s="121">
        <f>SUM(J10:J15)</f>
        <v>8579730</v>
      </c>
      <c r="K9" s="121">
        <f>SUM(K10:K15)</f>
        <v>5597518</v>
      </c>
    </row>
    <row r="10" spans="1:11" ht="12.75" outlineLevel="1">
      <c r="A10" s="222" t="s">
        <v>112</v>
      </c>
      <c r="B10" s="223"/>
      <c r="C10" s="223"/>
      <c r="D10" s="223"/>
      <c r="E10" s="223"/>
      <c r="F10" s="223"/>
      <c r="G10" s="223"/>
      <c r="H10" s="224"/>
      <c r="I10" s="1">
        <v>4</v>
      </c>
      <c r="J10" s="7"/>
      <c r="K10" s="7"/>
    </row>
    <row r="11" spans="1:11" ht="12.75" outlineLevel="1">
      <c r="A11" s="222" t="s">
        <v>14</v>
      </c>
      <c r="B11" s="223"/>
      <c r="C11" s="223"/>
      <c r="D11" s="223"/>
      <c r="E11" s="223"/>
      <c r="F11" s="223"/>
      <c r="G11" s="223"/>
      <c r="H11" s="224"/>
      <c r="I11" s="1">
        <v>5</v>
      </c>
      <c r="J11" s="7">
        <v>8579730</v>
      </c>
      <c r="K11" s="7">
        <v>5597518</v>
      </c>
    </row>
    <row r="12" spans="1:11" ht="12.75" outlineLevel="1">
      <c r="A12" s="222" t="s">
        <v>113</v>
      </c>
      <c r="B12" s="223"/>
      <c r="C12" s="223"/>
      <c r="D12" s="223"/>
      <c r="E12" s="223"/>
      <c r="F12" s="223"/>
      <c r="G12" s="223"/>
      <c r="H12" s="224"/>
      <c r="I12" s="1">
        <v>6</v>
      </c>
      <c r="J12" s="7"/>
      <c r="K12" s="7"/>
    </row>
    <row r="13" spans="1:11" ht="12.75" outlineLevel="1">
      <c r="A13" s="222" t="s">
        <v>206</v>
      </c>
      <c r="B13" s="223"/>
      <c r="C13" s="223"/>
      <c r="D13" s="223"/>
      <c r="E13" s="223"/>
      <c r="F13" s="223"/>
      <c r="G13" s="223"/>
      <c r="H13" s="224"/>
      <c r="I13" s="1">
        <v>7</v>
      </c>
      <c r="J13" s="7"/>
      <c r="K13" s="7"/>
    </row>
    <row r="14" spans="1:11" ht="12.75" outlineLevel="1">
      <c r="A14" s="222" t="s">
        <v>207</v>
      </c>
      <c r="B14" s="223"/>
      <c r="C14" s="223"/>
      <c r="D14" s="223"/>
      <c r="E14" s="223"/>
      <c r="F14" s="223"/>
      <c r="G14" s="223"/>
      <c r="H14" s="224"/>
      <c r="I14" s="1">
        <v>8</v>
      </c>
      <c r="J14" s="7">
        <v>0</v>
      </c>
      <c r="K14" s="7">
        <v>0</v>
      </c>
    </row>
    <row r="15" spans="1:11" ht="12.75" outlineLevel="1">
      <c r="A15" s="222" t="s">
        <v>208</v>
      </c>
      <c r="B15" s="223"/>
      <c r="C15" s="223"/>
      <c r="D15" s="223"/>
      <c r="E15" s="223"/>
      <c r="F15" s="223"/>
      <c r="G15" s="223"/>
      <c r="H15" s="224"/>
      <c r="I15" s="1">
        <v>9</v>
      </c>
      <c r="J15" s="7"/>
      <c r="K15" s="7"/>
    </row>
    <row r="16" spans="1:11" ht="12.75" outlineLevel="1">
      <c r="A16" s="207" t="s">
        <v>204</v>
      </c>
      <c r="B16" s="208"/>
      <c r="C16" s="208"/>
      <c r="D16" s="208"/>
      <c r="E16" s="208"/>
      <c r="F16" s="208"/>
      <c r="G16" s="208"/>
      <c r="H16" s="209"/>
      <c r="I16" s="1">
        <v>10</v>
      </c>
      <c r="J16" s="121">
        <f>SUM(J17:J25)</f>
        <v>275522134</v>
      </c>
      <c r="K16" s="121">
        <f>SUM(K17:K25)</f>
        <v>277301592</v>
      </c>
    </row>
    <row r="17" spans="1:11" ht="12.75" outlineLevel="1">
      <c r="A17" s="222" t="s">
        <v>209</v>
      </c>
      <c r="B17" s="223"/>
      <c r="C17" s="223"/>
      <c r="D17" s="223"/>
      <c r="E17" s="223"/>
      <c r="F17" s="223"/>
      <c r="G17" s="223"/>
      <c r="H17" s="224"/>
      <c r="I17" s="1">
        <v>11</v>
      </c>
      <c r="J17" s="7">
        <v>5545687</v>
      </c>
      <c r="K17" s="7">
        <v>5545687</v>
      </c>
    </row>
    <row r="18" spans="1:11" ht="12.75" outlineLevel="1">
      <c r="A18" s="222" t="s">
        <v>244</v>
      </c>
      <c r="B18" s="223"/>
      <c r="C18" s="223"/>
      <c r="D18" s="223"/>
      <c r="E18" s="223"/>
      <c r="F18" s="223"/>
      <c r="G18" s="223"/>
      <c r="H18" s="224"/>
      <c r="I18" s="1">
        <v>12</v>
      </c>
      <c r="J18" s="7">
        <v>4498582</v>
      </c>
      <c r="K18" s="7">
        <v>4318741</v>
      </c>
    </row>
    <row r="19" spans="1:11" ht="12.75" outlineLevel="1">
      <c r="A19" s="222" t="s">
        <v>210</v>
      </c>
      <c r="B19" s="223"/>
      <c r="C19" s="223"/>
      <c r="D19" s="223"/>
      <c r="E19" s="223"/>
      <c r="F19" s="223"/>
      <c r="G19" s="223"/>
      <c r="H19" s="224"/>
      <c r="I19" s="1">
        <v>13</v>
      </c>
      <c r="J19" s="7">
        <v>258302602</v>
      </c>
      <c r="K19" s="7">
        <v>258021526</v>
      </c>
    </row>
    <row r="20" spans="1:11" ht="12.75" outlineLevel="1">
      <c r="A20" s="222" t="s">
        <v>27</v>
      </c>
      <c r="B20" s="223"/>
      <c r="C20" s="223"/>
      <c r="D20" s="223"/>
      <c r="E20" s="223"/>
      <c r="F20" s="223"/>
      <c r="G20" s="223"/>
      <c r="H20" s="224"/>
      <c r="I20" s="1">
        <v>14</v>
      </c>
      <c r="J20" s="7">
        <v>6344808</v>
      </c>
      <c r="K20" s="7">
        <v>6081356</v>
      </c>
    </row>
    <row r="21" spans="1:11" ht="12.75" outlineLevel="1">
      <c r="A21" s="222" t="s">
        <v>28</v>
      </c>
      <c r="B21" s="223"/>
      <c r="C21" s="223"/>
      <c r="D21" s="223"/>
      <c r="E21" s="223"/>
      <c r="F21" s="223"/>
      <c r="G21" s="223"/>
      <c r="H21" s="224"/>
      <c r="I21" s="1">
        <v>15</v>
      </c>
      <c r="J21" s="7"/>
      <c r="K21" s="7"/>
    </row>
    <row r="22" spans="1:11" ht="12.75" outlineLevel="1">
      <c r="A22" s="222" t="s">
        <v>72</v>
      </c>
      <c r="B22" s="223"/>
      <c r="C22" s="223"/>
      <c r="D22" s="223"/>
      <c r="E22" s="223"/>
      <c r="F22" s="223"/>
      <c r="G22" s="223"/>
      <c r="H22" s="224"/>
      <c r="I22" s="1">
        <v>16</v>
      </c>
      <c r="J22" s="7">
        <v>67926</v>
      </c>
      <c r="K22" s="7">
        <v>222224</v>
      </c>
    </row>
    <row r="23" spans="1:11" ht="12.75" outlineLevel="1">
      <c r="A23" s="222" t="s">
        <v>73</v>
      </c>
      <c r="B23" s="223"/>
      <c r="C23" s="223"/>
      <c r="D23" s="223"/>
      <c r="E23" s="223"/>
      <c r="F23" s="223"/>
      <c r="G23" s="223"/>
      <c r="H23" s="224"/>
      <c r="I23" s="1">
        <v>17</v>
      </c>
      <c r="J23" s="7">
        <v>762529</v>
      </c>
      <c r="K23" s="7">
        <v>3112058</v>
      </c>
    </row>
    <row r="24" spans="1:11" ht="12.75" outlineLevel="1">
      <c r="A24" s="222" t="s">
        <v>74</v>
      </c>
      <c r="B24" s="223"/>
      <c r="C24" s="223"/>
      <c r="D24" s="223"/>
      <c r="E24" s="223"/>
      <c r="F24" s="223"/>
      <c r="G24" s="223"/>
      <c r="H24" s="224"/>
      <c r="I24" s="1">
        <v>18</v>
      </c>
      <c r="J24" s="7"/>
      <c r="K24" s="7"/>
    </row>
    <row r="25" spans="1:11" ht="12.75" outlineLevel="1">
      <c r="A25" s="222" t="s">
        <v>75</v>
      </c>
      <c r="B25" s="223"/>
      <c r="C25" s="223"/>
      <c r="D25" s="223"/>
      <c r="E25" s="223"/>
      <c r="F25" s="223"/>
      <c r="G25" s="223"/>
      <c r="H25" s="224"/>
      <c r="I25" s="1">
        <v>19</v>
      </c>
      <c r="J25" s="7"/>
      <c r="K25" s="7"/>
    </row>
    <row r="26" spans="1:11" ht="12.75" outlineLevel="1">
      <c r="A26" s="207" t="s">
        <v>189</v>
      </c>
      <c r="B26" s="208"/>
      <c r="C26" s="208"/>
      <c r="D26" s="208"/>
      <c r="E26" s="208"/>
      <c r="F26" s="208"/>
      <c r="G26" s="208"/>
      <c r="H26" s="209"/>
      <c r="I26" s="1">
        <v>20</v>
      </c>
      <c r="J26" s="121">
        <f>SUM(J27:J34)</f>
        <v>9638435</v>
      </c>
      <c r="K26" s="121">
        <f>SUM(K27:K34)</f>
        <v>9452037</v>
      </c>
    </row>
    <row r="27" spans="1:11" ht="12.75" outlineLevel="1">
      <c r="A27" s="222" t="s">
        <v>76</v>
      </c>
      <c r="B27" s="223"/>
      <c r="C27" s="223"/>
      <c r="D27" s="223"/>
      <c r="E27" s="223"/>
      <c r="F27" s="223"/>
      <c r="G27" s="223"/>
      <c r="H27" s="224"/>
      <c r="I27" s="1">
        <v>21</v>
      </c>
      <c r="J27" s="7">
        <v>778259</v>
      </c>
      <c r="K27" s="7">
        <v>778259</v>
      </c>
    </row>
    <row r="28" spans="1:11" ht="12.75" outlineLevel="1">
      <c r="A28" s="222" t="s">
        <v>77</v>
      </c>
      <c r="B28" s="223"/>
      <c r="C28" s="223"/>
      <c r="D28" s="223"/>
      <c r="E28" s="223"/>
      <c r="F28" s="223"/>
      <c r="G28" s="223"/>
      <c r="H28" s="224"/>
      <c r="I28" s="1">
        <v>22</v>
      </c>
      <c r="J28" s="7"/>
      <c r="K28" s="7"/>
    </row>
    <row r="29" spans="1:11" ht="12.75" outlineLevel="1">
      <c r="A29" s="222" t="s">
        <v>78</v>
      </c>
      <c r="B29" s="223"/>
      <c r="C29" s="223"/>
      <c r="D29" s="223"/>
      <c r="E29" s="223"/>
      <c r="F29" s="223"/>
      <c r="G29" s="223"/>
      <c r="H29" s="224"/>
      <c r="I29" s="1">
        <v>23</v>
      </c>
      <c r="J29" s="7">
        <v>373062</v>
      </c>
      <c r="K29" s="7"/>
    </row>
    <row r="30" spans="1:11" ht="12.75" outlineLevel="1">
      <c r="A30" s="222" t="s">
        <v>83</v>
      </c>
      <c r="B30" s="223"/>
      <c r="C30" s="223"/>
      <c r="D30" s="223"/>
      <c r="E30" s="223"/>
      <c r="F30" s="223"/>
      <c r="G30" s="223"/>
      <c r="H30" s="224"/>
      <c r="I30" s="1">
        <v>24</v>
      </c>
      <c r="J30" s="7"/>
      <c r="K30" s="7"/>
    </row>
    <row r="31" spans="1:11" ht="12.75" outlineLevel="1">
      <c r="A31" s="222" t="s">
        <v>84</v>
      </c>
      <c r="B31" s="223"/>
      <c r="C31" s="223"/>
      <c r="D31" s="223"/>
      <c r="E31" s="223"/>
      <c r="F31" s="223"/>
      <c r="G31" s="223"/>
      <c r="H31" s="224"/>
      <c r="I31" s="1">
        <v>25</v>
      </c>
      <c r="J31" s="7"/>
      <c r="K31" s="7">
        <v>292736</v>
      </c>
    </row>
    <row r="32" spans="1:11" ht="12.75" outlineLevel="1">
      <c r="A32" s="222" t="s">
        <v>85</v>
      </c>
      <c r="B32" s="223"/>
      <c r="C32" s="223"/>
      <c r="D32" s="223"/>
      <c r="E32" s="223"/>
      <c r="F32" s="223"/>
      <c r="G32" s="223"/>
      <c r="H32" s="224"/>
      <c r="I32" s="1">
        <v>26</v>
      </c>
      <c r="J32" s="7">
        <v>8265012</v>
      </c>
      <c r="K32" s="7">
        <v>8159333</v>
      </c>
    </row>
    <row r="33" spans="1:11" ht="12.75" outlineLevel="1">
      <c r="A33" s="222" t="s">
        <v>79</v>
      </c>
      <c r="B33" s="223"/>
      <c r="C33" s="223"/>
      <c r="D33" s="223"/>
      <c r="E33" s="223"/>
      <c r="F33" s="223"/>
      <c r="G33" s="223"/>
      <c r="H33" s="224"/>
      <c r="I33" s="1">
        <v>27</v>
      </c>
      <c r="J33" s="7">
        <v>222102</v>
      </c>
      <c r="K33" s="7">
        <v>221709</v>
      </c>
    </row>
    <row r="34" spans="1:11" ht="12.75" outlineLevel="1">
      <c r="A34" s="222" t="s">
        <v>182</v>
      </c>
      <c r="B34" s="223"/>
      <c r="C34" s="223"/>
      <c r="D34" s="223"/>
      <c r="E34" s="223"/>
      <c r="F34" s="223"/>
      <c r="G34" s="223"/>
      <c r="H34" s="224"/>
      <c r="I34" s="1">
        <v>28</v>
      </c>
      <c r="J34" s="7"/>
      <c r="K34" s="7"/>
    </row>
    <row r="35" spans="1:11" ht="12.75" outlineLevel="1">
      <c r="A35" s="207" t="s">
        <v>183</v>
      </c>
      <c r="B35" s="208"/>
      <c r="C35" s="208"/>
      <c r="D35" s="208"/>
      <c r="E35" s="208"/>
      <c r="F35" s="208"/>
      <c r="G35" s="208"/>
      <c r="H35" s="209"/>
      <c r="I35" s="1">
        <v>29</v>
      </c>
      <c r="J35" s="53">
        <f>SUM(J36:J38)</f>
        <v>0</v>
      </c>
      <c r="K35" s="53">
        <f>SUM(K36:K38)</f>
        <v>0</v>
      </c>
    </row>
    <row r="36" spans="1:11" ht="12.75" outlineLevel="1">
      <c r="A36" s="222" t="s">
        <v>80</v>
      </c>
      <c r="B36" s="223"/>
      <c r="C36" s="223"/>
      <c r="D36" s="223"/>
      <c r="E36" s="223"/>
      <c r="F36" s="223"/>
      <c r="G36" s="223"/>
      <c r="H36" s="224"/>
      <c r="I36" s="1">
        <v>30</v>
      </c>
      <c r="J36" s="7"/>
      <c r="K36" s="7"/>
    </row>
    <row r="37" spans="1:11" ht="12.75" outlineLevel="1">
      <c r="A37" s="222" t="s">
        <v>81</v>
      </c>
      <c r="B37" s="223"/>
      <c r="C37" s="223"/>
      <c r="D37" s="223"/>
      <c r="E37" s="223"/>
      <c r="F37" s="223"/>
      <c r="G37" s="223"/>
      <c r="H37" s="224"/>
      <c r="I37" s="1">
        <v>31</v>
      </c>
      <c r="J37" s="7"/>
      <c r="K37" s="7"/>
    </row>
    <row r="38" spans="1:11" ht="12.75" outlineLevel="1">
      <c r="A38" s="222" t="s">
        <v>82</v>
      </c>
      <c r="B38" s="223"/>
      <c r="C38" s="223"/>
      <c r="D38" s="223"/>
      <c r="E38" s="223"/>
      <c r="F38" s="223"/>
      <c r="G38" s="223"/>
      <c r="H38" s="224"/>
      <c r="I38" s="1">
        <v>32</v>
      </c>
      <c r="J38" s="7"/>
      <c r="K38" s="7"/>
    </row>
    <row r="39" spans="1:11" ht="12.75" outlineLevel="1">
      <c r="A39" s="207" t="s">
        <v>184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>
        <v>514426</v>
      </c>
      <c r="K39" s="7">
        <v>528885</v>
      </c>
    </row>
    <row r="40" spans="1:11" ht="12.75" outlineLevel="1">
      <c r="A40" s="207" t="s">
        <v>237</v>
      </c>
      <c r="B40" s="208"/>
      <c r="C40" s="208"/>
      <c r="D40" s="208"/>
      <c r="E40" s="208"/>
      <c r="F40" s="208"/>
      <c r="G40" s="208"/>
      <c r="H40" s="209"/>
      <c r="I40" s="1">
        <v>34</v>
      </c>
      <c r="J40" s="121">
        <f>J41+J49+J56+J64</f>
        <v>105296016</v>
      </c>
      <c r="K40" s="121">
        <f>K41+K49+K56+K64</f>
        <v>59891303</v>
      </c>
    </row>
    <row r="41" spans="1:11" ht="12.75" outlineLevel="1">
      <c r="A41" s="207" t="s">
        <v>100</v>
      </c>
      <c r="B41" s="208"/>
      <c r="C41" s="208"/>
      <c r="D41" s="208"/>
      <c r="E41" s="208"/>
      <c r="F41" s="208"/>
      <c r="G41" s="208"/>
      <c r="H41" s="209"/>
      <c r="I41" s="1">
        <v>35</v>
      </c>
      <c r="J41" s="121">
        <f>SUM(J42:J48)</f>
        <v>19021976</v>
      </c>
      <c r="K41" s="121">
        <f>SUM(K42:K48)</f>
        <v>17960372</v>
      </c>
    </row>
    <row r="42" spans="1:11" ht="12.75" outlineLevel="1">
      <c r="A42" s="222" t="s">
        <v>117</v>
      </c>
      <c r="B42" s="223"/>
      <c r="C42" s="223"/>
      <c r="D42" s="223"/>
      <c r="E42" s="223"/>
      <c r="F42" s="223"/>
      <c r="G42" s="223"/>
      <c r="H42" s="224"/>
      <c r="I42" s="1">
        <v>36</v>
      </c>
      <c r="J42" s="7">
        <v>15971812</v>
      </c>
      <c r="K42" s="7">
        <v>15020754</v>
      </c>
    </row>
    <row r="43" spans="1:11" ht="12.75" outlineLevel="1">
      <c r="A43" s="222" t="s">
        <v>118</v>
      </c>
      <c r="B43" s="223"/>
      <c r="C43" s="223"/>
      <c r="D43" s="223"/>
      <c r="E43" s="223"/>
      <c r="F43" s="223"/>
      <c r="G43" s="223"/>
      <c r="H43" s="224"/>
      <c r="I43" s="1">
        <v>37</v>
      </c>
      <c r="J43" s="7">
        <v>3050164</v>
      </c>
      <c r="K43" s="7">
        <v>2939618</v>
      </c>
    </row>
    <row r="44" spans="1:11" ht="12.75" outlineLevel="1">
      <c r="A44" s="222" t="s">
        <v>86</v>
      </c>
      <c r="B44" s="223"/>
      <c r="C44" s="223"/>
      <c r="D44" s="223"/>
      <c r="E44" s="223"/>
      <c r="F44" s="223"/>
      <c r="G44" s="223"/>
      <c r="H44" s="224"/>
      <c r="I44" s="1">
        <v>38</v>
      </c>
      <c r="J44" s="7"/>
      <c r="K44" s="7"/>
    </row>
    <row r="45" spans="1:11" ht="12.75" outlineLevel="1">
      <c r="A45" s="222" t="s">
        <v>87</v>
      </c>
      <c r="B45" s="223"/>
      <c r="C45" s="223"/>
      <c r="D45" s="223"/>
      <c r="E45" s="223"/>
      <c r="F45" s="223"/>
      <c r="G45" s="223"/>
      <c r="H45" s="224"/>
      <c r="I45" s="1">
        <v>39</v>
      </c>
      <c r="J45" s="7"/>
      <c r="K45" s="7"/>
    </row>
    <row r="46" spans="1:11" ht="12.75" outlineLevel="1">
      <c r="A46" s="222" t="s">
        <v>88</v>
      </c>
      <c r="B46" s="223"/>
      <c r="C46" s="223"/>
      <c r="D46" s="223"/>
      <c r="E46" s="223"/>
      <c r="F46" s="223"/>
      <c r="G46" s="223"/>
      <c r="H46" s="224"/>
      <c r="I46" s="1">
        <v>40</v>
      </c>
      <c r="J46" s="7"/>
      <c r="K46" s="7"/>
    </row>
    <row r="47" spans="1:11" ht="12.75" outlineLevel="1">
      <c r="A47" s="222" t="s">
        <v>89</v>
      </c>
      <c r="B47" s="223"/>
      <c r="C47" s="223"/>
      <c r="D47" s="223"/>
      <c r="E47" s="223"/>
      <c r="F47" s="223"/>
      <c r="G47" s="223"/>
      <c r="H47" s="224"/>
      <c r="I47" s="1">
        <v>41</v>
      </c>
      <c r="J47" s="7"/>
      <c r="K47" s="7"/>
    </row>
    <row r="48" spans="1:11" ht="12.75" outlineLevel="1">
      <c r="A48" s="222" t="s">
        <v>90</v>
      </c>
      <c r="B48" s="223"/>
      <c r="C48" s="223"/>
      <c r="D48" s="223"/>
      <c r="E48" s="223"/>
      <c r="F48" s="223"/>
      <c r="G48" s="223"/>
      <c r="H48" s="224"/>
      <c r="I48" s="1">
        <v>42</v>
      </c>
      <c r="J48" s="7"/>
      <c r="K48" s="7"/>
    </row>
    <row r="49" spans="1:11" ht="12.75" outlineLevel="1">
      <c r="A49" s="207" t="s">
        <v>101</v>
      </c>
      <c r="B49" s="208"/>
      <c r="C49" s="208"/>
      <c r="D49" s="208"/>
      <c r="E49" s="208"/>
      <c r="F49" s="208"/>
      <c r="G49" s="208"/>
      <c r="H49" s="209"/>
      <c r="I49" s="1">
        <v>43</v>
      </c>
      <c r="J49" s="121">
        <f>SUM(J50:J55)</f>
        <v>54382208</v>
      </c>
      <c r="K49" s="121">
        <f>SUM(K50:K55)</f>
        <v>31429149</v>
      </c>
    </row>
    <row r="50" spans="1:11" ht="12.75" outlineLevel="1">
      <c r="A50" s="222" t="s">
        <v>198</v>
      </c>
      <c r="B50" s="223"/>
      <c r="C50" s="223"/>
      <c r="D50" s="223"/>
      <c r="E50" s="223"/>
      <c r="F50" s="223"/>
      <c r="G50" s="223"/>
      <c r="H50" s="224"/>
      <c r="I50" s="1">
        <v>44</v>
      </c>
      <c r="J50" s="7">
        <v>61329</v>
      </c>
      <c r="K50" s="7">
        <v>67135</v>
      </c>
    </row>
    <row r="51" spans="1:11" ht="12.75" outlineLevel="1">
      <c r="A51" s="222" t="s">
        <v>199</v>
      </c>
      <c r="B51" s="223"/>
      <c r="C51" s="223"/>
      <c r="D51" s="223"/>
      <c r="E51" s="223"/>
      <c r="F51" s="223"/>
      <c r="G51" s="223"/>
      <c r="H51" s="224"/>
      <c r="I51" s="1">
        <v>45</v>
      </c>
      <c r="J51" s="7">
        <v>47226289</v>
      </c>
      <c r="K51" s="7">
        <v>0</v>
      </c>
    </row>
    <row r="52" spans="1:11" ht="12.75" outlineLevel="1">
      <c r="A52" s="222" t="s">
        <v>200</v>
      </c>
      <c r="B52" s="223"/>
      <c r="C52" s="223"/>
      <c r="D52" s="223"/>
      <c r="E52" s="223"/>
      <c r="F52" s="223"/>
      <c r="G52" s="223"/>
      <c r="H52" s="224"/>
      <c r="I52" s="1">
        <v>46</v>
      </c>
      <c r="J52" s="7">
        <v>165200</v>
      </c>
      <c r="K52" s="7">
        <v>25642093</v>
      </c>
    </row>
    <row r="53" spans="1:11" ht="12.75" outlineLevel="1">
      <c r="A53" s="222" t="s">
        <v>201</v>
      </c>
      <c r="B53" s="223"/>
      <c r="C53" s="223"/>
      <c r="D53" s="223"/>
      <c r="E53" s="223"/>
      <c r="F53" s="223"/>
      <c r="G53" s="223"/>
      <c r="H53" s="224"/>
      <c r="I53" s="1">
        <v>47</v>
      </c>
      <c r="J53" s="7">
        <v>3068</v>
      </c>
      <c r="K53" s="7">
        <v>197073</v>
      </c>
    </row>
    <row r="54" spans="1:11" ht="12.75" outlineLevel="1">
      <c r="A54" s="222" t="s">
        <v>10</v>
      </c>
      <c r="B54" s="223"/>
      <c r="C54" s="223"/>
      <c r="D54" s="223"/>
      <c r="E54" s="223"/>
      <c r="F54" s="223"/>
      <c r="G54" s="223"/>
      <c r="H54" s="224"/>
      <c r="I54" s="1">
        <v>48</v>
      </c>
      <c r="J54" s="7">
        <v>6523071</v>
      </c>
      <c r="K54" s="7">
        <v>4293053</v>
      </c>
    </row>
    <row r="55" spans="1:11" ht="12.75" outlineLevel="1">
      <c r="A55" s="222" t="s">
        <v>11</v>
      </c>
      <c r="B55" s="223"/>
      <c r="C55" s="223"/>
      <c r="D55" s="223"/>
      <c r="E55" s="223"/>
      <c r="F55" s="223"/>
      <c r="G55" s="223"/>
      <c r="H55" s="224"/>
      <c r="I55" s="1">
        <v>49</v>
      </c>
      <c r="J55" s="7">
        <v>403251</v>
      </c>
      <c r="K55" s="7">
        <v>1229795</v>
      </c>
    </row>
    <row r="56" spans="1:11" ht="12.75" outlineLevel="1">
      <c r="A56" s="207" t="s">
        <v>102</v>
      </c>
      <c r="B56" s="208"/>
      <c r="C56" s="208"/>
      <c r="D56" s="208"/>
      <c r="E56" s="208"/>
      <c r="F56" s="208"/>
      <c r="G56" s="208"/>
      <c r="H56" s="209"/>
      <c r="I56" s="1">
        <v>50</v>
      </c>
      <c r="J56" s="121">
        <f>SUM(J57:J63)</f>
        <v>17519983</v>
      </c>
      <c r="K56" s="121">
        <f>SUM(K57:K63)</f>
        <v>130211</v>
      </c>
    </row>
    <row r="57" spans="1:11" ht="12.75" outlineLevel="1">
      <c r="A57" s="222" t="s">
        <v>76</v>
      </c>
      <c r="B57" s="223"/>
      <c r="C57" s="223"/>
      <c r="D57" s="223"/>
      <c r="E57" s="223"/>
      <c r="F57" s="223"/>
      <c r="G57" s="223"/>
      <c r="H57" s="224"/>
      <c r="I57" s="1">
        <v>51</v>
      </c>
      <c r="J57" s="7"/>
      <c r="K57" s="7"/>
    </row>
    <row r="58" spans="1:11" ht="12.75" outlineLevel="1">
      <c r="A58" s="222" t="s">
        <v>77</v>
      </c>
      <c r="B58" s="223"/>
      <c r="C58" s="223"/>
      <c r="D58" s="223"/>
      <c r="E58" s="223"/>
      <c r="F58" s="223"/>
      <c r="G58" s="223"/>
      <c r="H58" s="224"/>
      <c r="I58" s="1">
        <v>52</v>
      </c>
      <c r="J58" s="7"/>
      <c r="K58" s="7"/>
    </row>
    <row r="59" spans="1:11" ht="12.75" outlineLevel="1">
      <c r="A59" s="222" t="s">
        <v>239</v>
      </c>
      <c r="B59" s="223"/>
      <c r="C59" s="223"/>
      <c r="D59" s="223"/>
      <c r="E59" s="223"/>
      <c r="F59" s="223"/>
      <c r="G59" s="223"/>
      <c r="H59" s="224"/>
      <c r="I59" s="1">
        <v>53</v>
      </c>
      <c r="J59" s="7"/>
      <c r="K59" s="7"/>
    </row>
    <row r="60" spans="1:11" ht="12.75" outlineLevel="1">
      <c r="A60" s="222" t="s">
        <v>83</v>
      </c>
      <c r="B60" s="223"/>
      <c r="C60" s="223"/>
      <c r="D60" s="223"/>
      <c r="E60" s="223"/>
      <c r="F60" s="223"/>
      <c r="G60" s="223"/>
      <c r="H60" s="224"/>
      <c r="I60" s="1">
        <v>54</v>
      </c>
      <c r="J60" s="7"/>
      <c r="K60" s="7"/>
    </row>
    <row r="61" spans="1:11" ht="12.75" outlineLevel="1">
      <c r="A61" s="222" t="s">
        <v>84</v>
      </c>
      <c r="B61" s="223"/>
      <c r="C61" s="223"/>
      <c r="D61" s="223"/>
      <c r="E61" s="223"/>
      <c r="F61" s="223"/>
      <c r="G61" s="223"/>
      <c r="H61" s="224"/>
      <c r="I61" s="1">
        <v>55</v>
      </c>
      <c r="J61" s="7"/>
      <c r="K61" s="7"/>
    </row>
    <row r="62" spans="1:11" ht="12.75" outlineLevel="1">
      <c r="A62" s="222" t="s">
        <v>85</v>
      </c>
      <c r="B62" s="223"/>
      <c r="C62" s="223"/>
      <c r="D62" s="223"/>
      <c r="E62" s="223"/>
      <c r="F62" s="223"/>
      <c r="G62" s="223"/>
      <c r="H62" s="224"/>
      <c r="I62" s="1">
        <v>56</v>
      </c>
      <c r="J62" s="7">
        <v>17519983</v>
      </c>
      <c r="K62" s="7">
        <v>130211</v>
      </c>
    </row>
    <row r="63" spans="1:11" ht="12.75" outlineLevel="1">
      <c r="A63" s="222" t="s">
        <v>46</v>
      </c>
      <c r="B63" s="223"/>
      <c r="C63" s="223"/>
      <c r="D63" s="223"/>
      <c r="E63" s="223"/>
      <c r="F63" s="223"/>
      <c r="G63" s="223"/>
      <c r="H63" s="224"/>
      <c r="I63" s="1">
        <v>57</v>
      </c>
      <c r="J63" s="7"/>
      <c r="K63" s="7"/>
    </row>
    <row r="64" spans="1:11" ht="12.75" outlineLevel="1">
      <c r="A64" s="207" t="s">
        <v>205</v>
      </c>
      <c r="B64" s="208"/>
      <c r="C64" s="208"/>
      <c r="D64" s="208"/>
      <c r="E64" s="208"/>
      <c r="F64" s="208"/>
      <c r="G64" s="208"/>
      <c r="H64" s="209"/>
      <c r="I64" s="1">
        <v>58</v>
      </c>
      <c r="J64" s="123">
        <v>14371849</v>
      </c>
      <c r="K64" s="123">
        <v>10371571</v>
      </c>
    </row>
    <row r="65" spans="1:11" ht="12.75" outlineLevel="1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2944253</v>
      </c>
      <c r="K65" s="7">
        <v>14182434</v>
      </c>
    </row>
    <row r="66" spans="1:11" ht="12.75" outlineLevel="1">
      <c r="A66" s="207" t="s">
        <v>238</v>
      </c>
      <c r="B66" s="208"/>
      <c r="C66" s="208"/>
      <c r="D66" s="208"/>
      <c r="E66" s="208"/>
      <c r="F66" s="208"/>
      <c r="G66" s="208"/>
      <c r="H66" s="209"/>
      <c r="I66" s="1">
        <v>60</v>
      </c>
      <c r="J66" s="121">
        <f>J7+J8+J40+J65</f>
        <v>402494994</v>
      </c>
      <c r="K66" s="121">
        <f>K7+K8+K40+K65</f>
        <v>366953769</v>
      </c>
    </row>
    <row r="67" spans="1:11" ht="18.75" customHeight="1" outlineLevel="1">
      <c r="A67" s="225" t="s">
        <v>91</v>
      </c>
      <c r="B67" s="226"/>
      <c r="C67" s="226"/>
      <c r="D67" s="226"/>
      <c r="E67" s="226"/>
      <c r="F67" s="226"/>
      <c r="G67" s="226"/>
      <c r="H67" s="227"/>
      <c r="I67" s="4">
        <v>61</v>
      </c>
      <c r="J67" s="8"/>
      <c r="K67" s="8"/>
    </row>
    <row r="68" spans="1:11" ht="12.75">
      <c r="A68" s="228" t="s">
        <v>58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04" t="s">
        <v>336</v>
      </c>
      <c r="B69" s="205"/>
      <c r="C69" s="205"/>
      <c r="D69" s="205"/>
      <c r="E69" s="205"/>
      <c r="F69" s="205"/>
      <c r="G69" s="205"/>
      <c r="H69" s="206"/>
      <c r="I69" s="3">
        <v>62</v>
      </c>
      <c r="J69" s="122">
        <f>J70+J71+J72+J78+J79+J82+J85</f>
        <v>244261812</v>
      </c>
      <c r="K69" s="122">
        <f>K70+K71+K72+K78+K79+K82+K85</f>
        <v>222644560</v>
      </c>
    </row>
    <row r="70" spans="1:11" ht="12.75">
      <c r="A70" s="222" t="s">
        <v>141</v>
      </c>
      <c r="B70" s="223"/>
      <c r="C70" s="223"/>
      <c r="D70" s="223"/>
      <c r="E70" s="223"/>
      <c r="F70" s="223"/>
      <c r="G70" s="223"/>
      <c r="H70" s="224"/>
      <c r="I70" s="1">
        <v>63</v>
      </c>
      <c r="J70" s="7">
        <v>168132470</v>
      </c>
      <c r="K70" s="7">
        <v>168132470</v>
      </c>
    </row>
    <row r="71" spans="1:11" ht="12.75">
      <c r="A71" s="222" t="s">
        <v>142</v>
      </c>
      <c r="B71" s="223"/>
      <c r="C71" s="223"/>
      <c r="D71" s="223"/>
      <c r="E71" s="223"/>
      <c r="F71" s="223"/>
      <c r="G71" s="223"/>
      <c r="H71" s="224"/>
      <c r="I71" s="1">
        <v>64</v>
      </c>
      <c r="J71" s="7"/>
      <c r="K71" s="7"/>
    </row>
    <row r="72" spans="1:11" ht="12.75">
      <c r="A72" s="207" t="s">
        <v>143</v>
      </c>
      <c r="B72" s="208"/>
      <c r="C72" s="208"/>
      <c r="D72" s="208"/>
      <c r="E72" s="208"/>
      <c r="F72" s="208"/>
      <c r="G72" s="208"/>
      <c r="H72" s="209"/>
      <c r="I72" s="1">
        <v>65</v>
      </c>
      <c r="J72" s="121">
        <f>J73+J74-J75+J76+J77</f>
        <v>39490848</v>
      </c>
      <c r="K72" s="121">
        <f>K73+K74-K75+K76+K77</f>
        <v>76517706</v>
      </c>
    </row>
    <row r="73" spans="1:11" ht="12.75">
      <c r="A73" s="222" t="s">
        <v>144</v>
      </c>
      <c r="B73" s="223"/>
      <c r="C73" s="223"/>
      <c r="D73" s="223"/>
      <c r="E73" s="223"/>
      <c r="F73" s="223"/>
      <c r="G73" s="223"/>
      <c r="H73" s="224"/>
      <c r="I73" s="1">
        <v>66</v>
      </c>
      <c r="J73" s="7">
        <v>8406624</v>
      </c>
      <c r="K73" s="7">
        <v>8406624</v>
      </c>
    </row>
    <row r="74" spans="1:11" ht="12.75">
      <c r="A74" s="222" t="s">
        <v>145</v>
      </c>
      <c r="B74" s="223"/>
      <c r="C74" s="223"/>
      <c r="D74" s="223"/>
      <c r="E74" s="223"/>
      <c r="F74" s="223"/>
      <c r="G74" s="223"/>
      <c r="H74" s="224"/>
      <c r="I74" s="1">
        <v>67</v>
      </c>
      <c r="J74" s="7">
        <v>12540000</v>
      </c>
      <c r="K74" s="7">
        <v>12540000</v>
      </c>
    </row>
    <row r="75" spans="1:11" ht="12.75">
      <c r="A75" s="222" t="s">
        <v>133</v>
      </c>
      <c r="B75" s="223"/>
      <c r="C75" s="223"/>
      <c r="D75" s="223"/>
      <c r="E75" s="223"/>
      <c r="F75" s="223"/>
      <c r="G75" s="223"/>
      <c r="H75" s="224"/>
      <c r="I75" s="1">
        <v>68</v>
      </c>
      <c r="J75" s="7">
        <v>8055772</v>
      </c>
      <c r="K75" s="7">
        <v>8055772</v>
      </c>
    </row>
    <row r="76" spans="1:11" ht="12.75">
      <c r="A76" s="222" t="s">
        <v>134</v>
      </c>
      <c r="B76" s="223"/>
      <c r="C76" s="223"/>
      <c r="D76" s="223"/>
      <c r="E76" s="223"/>
      <c r="F76" s="223"/>
      <c r="G76" s="223"/>
      <c r="H76" s="224"/>
      <c r="I76" s="1">
        <v>69</v>
      </c>
      <c r="J76" s="7"/>
      <c r="K76" s="7"/>
    </row>
    <row r="77" spans="1:11" ht="12.75">
      <c r="A77" s="222" t="s">
        <v>135</v>
      </c>
      <c r="B77" s="223"/>
      <c r="C77" s="223"/>
      <c r="D77" s="223"/>
      <c r="E77" s="223"/>
      <c r="F77" s="223"/>
      <c r="G77" s="223"/>
      <c r="H77" s="224"/>
      <c r="I77" s="1">
        <v>70</v>
      </c>
      <c r="J77" s="7">
        <v>26599996</v>
      </c>
      <c r="K77" s="7">
        <v>63626854</v>
      </c>
    </row>
    <row r="78" spans="1:11" ht="12.75">
      <c r="A78" s="207" t="s">
        <v>136</v>
      </c>
      <c r="B78" s="208"/>
      <c r="C78" s="208"/>
      <c r="D78" s="208"/>
      <c r="E78" s="208"/>
      <c r="F78" s="208"/>
      <c r="G78" s="208"/>
      <c r="H78" s="209"/>
      <c r="I78" s="1">
        <v>71</v>
      </c>
      <c r="J78" s="123">
        <v>-388364</v>
      </c>
      <c r="K78" s="123">
        <v>-454231</v>
      </c>
    </row>
    <row r="79" spans="1:11" ht="12.75">
      <c r="A79" s="207" t="s">
        <v>235</v>
      </c>
      <c r="B79" s="208"/>
      <c r="C79" s="208"/>
      <c r="D79" s="208"/>
      <c r="E79" s="208"/>
      <c r="F79" s="208"/>
      <c r="G79" s="208"/>
      <c r="H79" s="209"/>
      <c r="I79" s="1">
        <v>72</v>
      </c>
      <c r="J79" s="121">
        <f>J80-J81</f>
        <v>0</v>
      </c>
      <c r="K79" s="121">
        <f>K80-K81</f>
        <v>0</v>
      </c>
    </row>
    <row r="80" spans="1:11" ht="12.75">
      <c r="A80" s="231" t="s">
        <v>168</v>
      </c>
      <c r="B80" s="232"/>
      <c r="C80" s="232"/>
      <c r="D80" s="232"/>
      <c r="E80" s="232"/>
      <c r="F80" s="232"/>
      <c r="G80" s="232"/>
      <c r="H80" s="233"/>
      <c r="I80" s="1">
        <v>73</v>
      </c>
      <c r="J80" s="7"/>
      <c r="K80" s="7">
        <v>0</v>
      </c>
    </row>
    <row r="81" spans="1:11" ht="12.75">
      <c r="A81" s="231" t="s">
        <v>169</v>
      </c>
      <c r="B81" s="232"/>
      <c r="C81" s="232"/>
      <c r="D81" s="232"/>
      <c r="E81" s="232"/>
      <c r="F81" s="232"/>
      <c r="G81" s="232"/>
      <c r="H81" s="233"/>
      <c r="I81" s="1">
        <v>74</v>
      </c>
      <c r="J81" s="7"/>
      <c r="K81" s="7"/>
    </row>
    <row r="82" spans="1:11" ht="12.75">
      <c r="A82" s="207" t="s">
        <v>236</v>
      </c>
      <c r="B82" s="208"/>
      <c r="C82" s="208"/>
      <c r="D82" s="208"/>
      <c r="E82" s="208"/>
      <c r="F82" s="208"/>
      <c r="G82" s="208"/>
      <c r="H82" s="209"/>
      <c r="I82" s="1">
        <v>75</v>
      </c>
      <c r="J82" s="121">
        <f>J83-J84</f>
        <v>37026858</v>
      </c>
      <c r="K82" s="121">
        <f>K83-K84</f>
        <v>-21551385</v>
      </c>
    </row>
    <row r="83" spans="1:11" ht="12.75">
      <c r="A83" s="231" t="s">
        <v>170</v>
      </c>
      <c r="B83" s="232"/>
      <c r="C83" s="232"/>
      <c r="D83" s="232"/>
      <c r="E83" s="232"/>
      <c r="F83" s="232"/>
      <c r="G83" s="232"/>
      <c r="H83" s="233"/>
      <c r="I83" s="1">
        <v>76</v>
      </c>
      <c r="J83" s="7">
        <v>37026858</v>
      </c>
      <c r="K83" s="7">
        <v>0</v>
      </c>
    </row>
    <row r="84" spans="1:11" ht="12.75">
      <c r="A84" s="231" t="s">
        <v>171</v>
      </c>
      <c r="B84" s="232"/>
      <c r="C84" s="232"/>
      <c r="D84" s="232"/>
      <c r="E84" s="232"/>
      <c r="F84" s="232"/>
      <c r="G84" s="232"/>
      <c r="H84" s="233"/>
      <c r="I84" s="1">
        <v>77</v>
      </c>
      <c r="J84" s="7"/>
      <c r="K84" s="7">
        <v>21551385</v>
      </c>
    </row>
    <row r="85" spans="1:11" ht="12.75">
      <c r="A85" s="207" t="s">
        <v>172</v>
      </c>
      <c r="B85" s="208"/>
      <c r="C85" s="208"/>
      <c r="D85" s="208"/>
      <c r="E85" s="208"/>
      <c r="F85" s="208"/>
      <c r="G85" s="208"/>
      <c r="H85" s="209"/>
      <c r="I85" s="1">
        <v>78</v>
      </c>
      <c r="J85" s="123"/>
      <c r="K85" s="123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121">
        <f>SUM(J87:J89)</f>
        <v>3904585</v>
      </c>
      <c r="K86" s="121">
        <f>SUM(K87:K89)</f>
        <v>2205702</v>
      </c>
    </row>
    <row r="87" spans="1:11" ht="12.75">
      <c r="A87" s="222" t="s">
        <v>129</v>
      </c>
      <c r="B87" s="223"/>
      <c r="C87" s="223"/>
      <c r="D87" s="223"/>
      <c r="E87" s="223"/>
      <c r="F87" s="223"/>
      <c r="G87" s="223"/>
      <c r="H87" s="224"/>
      <c r="I87" s="1">
        <v>80</v>
      </c>
      <c r="J87" s="7">
        <v>2223944</v>
      </c>
      <c r="K87" s="7">
        <v>607481</v>
      </c>
    </row>
    <row r="88" spans="1:11" ht="12.75">
      <c r="A88" s="222" t="s">
        <v>130</v>
      </c>
      <c r="B88" s="223"/>
      <c r="C88" s="223"/>
      <c r="D88" s="223"/>
      <c r="E88" s="223"/>
      <c r="F88" s="223"/>
      <c r="G88" s="223"/>
      <c r="H88" s="224"/>
      <c r="I88" s="1">
        <v>81</v>
      </c>
      <c r="J88" s="7"/>
      <c r="K88" s="7"/>
    </row>
    <row r="89" spans="1:11" ht="12.75">
      <c r="A89" s="222" t="s">
        <v>131</v>
      </c>
      <c r="B89" s="223"/>
      <c r="C89" s="223"/>
      <c r="D89" s="223"/>
      <c r="E89" s="223"/>
      <c r="F89" s="223"/>
      <c r="G89" s="223"/>
      <c r="H89" s="224"/>
      <c r="I89" s="1">
        <v>82</v>
      </c>
      <c r="J89" s="7">
        <v>1680641</v>
      </c>
      <c r="K89" s="7">
        <f>1518259+79962</f>
        <v>1598221</v>
      </c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121">
        <f>SUM(J91:J99)</f>
        <v>63841057</v>
      </c>
      <c r="K90" s="121">
        <f>SUM(K91:K99)</f>
        <v>52736297</v>
      </c>
    </row>
    <row r="91" spans="1:11" ht="12.75">
      <c r="A91" s="222" t="s">
        <v>132</v>
      </c>
      <c r="B91" s="223"/>
      <c r="C91" s="223"/>
      <c r="D91" s="223"/>
      <c r="E91" s="223"/>
      <c r="F91" s="223"/>
      <c r="G91" s="223"/>
      <c r="H91" s="224"/>
      <c r="I91" s="1">
        <v>84</v>
      </c>
      <c r="J91" s="7"/>
      <c r="K91" s="7"/>
    </row>
    <row r="92" spans="1:11" ht="12.75">
      <c r="A92" s="222" t="s">
        <v>240</v>
      </c>
      <c r="B92" s="223"/>
      <c r="C92" s="223"/>
      <c r="D92" s="223"/>
      <c r="E92" s="223"/>
      <c r="F92" s="223"/>
      <c r="G92" s="223"/>
      <c r="H92" s="224"/>
      <c r="I92" s="1">
        <v>85</v>
      </c>
      <c r="J92" s="7"/>
      <c r="K92" s="7"/>
    </row>
    <row r="93" spans="1:11" ht="12.75">
      <c r="A93" s="222" t="s">
        <v>0</v>
      </c>
      <c r="B93" s="223"/>
      <c r="C93" s="223"/>
      <c r="D93" s="223"/>
      <c r="E93" s="223"/>
      <c r="F93" s="223"/>
      <c r="G93" s="223"/>
      <c r="H93" s="224"/>
      <c r="I93" s="1">
        <v>86</v>
      </c>
      <c r="J93" s="7">
        <v>46877286</v>
      </c>
      <c r="K93" s="7">
        <v>38137709</v>
      </c>
    </row>
    <row r="94" spans="1:11" ht="12.75">
      <c r="A94" s="222" t="s">
        <v>241</v>
      </c>
      <c r="B94" s="223"/>
      <c r="C94" s="223"/>
      <c r="D94" s="223"/>
      <c r="E94" s="223"/>
      <c r="F94" s="223"/>
      <c r="G94" s="223"/>
      <c r="H94" s="224"/>
      <c r="I94" s="1">
        <v>87</v>
      </c>
      <c r="J94" s="7"/>
      <c r="K94" s="7"/>
    </row>
    <row r="95" spans="1:11" ht="12.75">
      <c r="A95" s="222" t="s">
        <v>242</v>
      </c>
      <c r="B95" s="223"/>
      <c r="C95" s="223"/>
      <c r="D95" s="223"/>
      <c r="E95" s="223"/>
      <c r="F95" s="223"/>
      <c r="G95" s="223"/>
      <c r="H95" s="224"/>
      <c r="I95" s="1">
        <v>88</v>
      </c>
      <c r="J95" s="7"/>
      <c r="K95" s="7"/>
    </row>
    <row r="96" spans="1:11" ht="12.75">
      <c r="A96" s="222" t="s">
        <v>243</v>
      </c>
      <c r="B96" s="223"/>
      <c r="C96" s="223"/>
      <c r="D96" s="223"/>
      <c r="E96" s="223"/>
      <c r="F96" s="223"/>
      <c r="G96" s="223"/>
      <c r="H96" s="224"/>
      <c r="I96" s="1">
        <v>89</v>
      </c>
      <c r="J96" s="7"/>
      <c r="K96" s="7"/>
    </row>
    <row r="97" spans="1:11" ht="12.75">
      <c r="A97" s="222" t="s">
        <v>94</v>
      </c>
      <c r="B97" s="223"/>
      <c r="C97" s="223"/>
      <c r="D97" s="223"/>
      <c r="E97" s="223"/>
      <c r="F97" s="223"/>
      <c r="G97" s="223"/>
      <c r="H97" s="224"/>
      <c r="I97" s="1">
        <v>90</v>
      </c>
      <c r="J97" s="7"/>
      <c r="K97" s="7"/>
    </row>
    <row r="98" spans="1:11" ht="12.75">
      <c r="A98" s="222" t="s">
        <v>92</v>
      </c>
      <c r="B98" s="223"/>
      <c r="C98" s="223"/>
      <c r="D98" s="223"/>
      <c r="E98" s="223"/>
      <c r="F98" s="223"/>
      <c r="G98" s="223"/>
      <c r="H98" s="224"/>
      <c r="I98" s="1">
        <v>91</v>
      </c>
      <c r="J98" s="7">
        <v>16963771</v>
      </c>
      <c r="K98" s="7">
        <v>14598588</v>
      </c>
    </row>
    <row r="99" spans="1:11" ht="12.75">
      <c r="A99" s="222" t="s">
        <v>93</v>
      </c>
      <c r="B99" s="223"/>
      <c r="C99" s="223"/>
      <c r="D99" s="223"/>
      <c r="E99" s="223"/>
      <c r="F99" s="223"/>
      <c r="G99" s="223"/>
      <c r="H99" s="224"/>
      <c r="I99" s="1">
        <v>92</v>
      </c>
      <c r="J99" s="7">
        <v>0</v>
      </c>
      <c r="K99" s="7">
        <v>0</v>
      </c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121">
        <f>SUM(J101:J112)</f>
        <v>86887918</v>
      </c>
      <c r="K100" s="121">
        <f>SUM(K101:K112)</f>
        <v>79630044</v>
      </c>
    </row>
    <row r="101" spans="1:11" ht="12.75">
      <c r="A101" s="222" t="s">
        <v>132</v>
      </c>
      <c r="B101" s="223"/>
      <c r="C101" s="223"/>
      <c r="D101" s="223"/>
      <c r="E101" s="223"/>
      <c r="F101" s="223"/>
      <c r="G101" s="223"/>
      <c r="H101" s="224"/>
      <c r="I101" s="1">
        <v>94</v>
      </c>
      <c r="J101" s="7">
        <v>1420285</v>
      </c>
      <c r="K101" s="7">
        <v>1832444</v>
      </c>
    </row>
    <row r="102" spans="1:11" ht="12.75">
      <c r="A102" s="222" t="s">
        <v>240</v>
      </c>
      <c r="B102" s="223"/>
      <c r="C102" s="223"/>
      <c r="D102" s="223"/>
      <c r="E102" s="223"/>
      <c r="F102" s="223"/>
      <c r="G102" s="223"/>
      <c r="H102" s="224"/>
      <c r="I102" s="1">
        <v>95</v>
      </c>
      <c r="J102" s="7"/>
      <c r="K102" s="7"/>
    </row>
    <row r="103" spans="1:11" ht="12.75">
      <c r="A103" s="222" t="s">
        <v>0</v>
      </c>
      <c r="B103" s="223"/>
      <c r="C103" s="223"/>
      <c r="D103" s="223"/>
      <c r="E103" s="223"/>
      <c r="F103" s="223"/>
      <c r="G103" s="223"/>
      <c r="H103" s="224"/>
      <c r="I103" s="1">
        <v>96</v>
      </c>
      <c r="J103" s="7">
        <v>15551811</v>
      </c>
      <c r="K103" s="7">
        <v>18562903</v>
      </c>
    </row>
    <row r="104" spans="1:11" ht="12.75">
      <c r="A104" s="222" t="s">
        <v>241</v>
      </c>
      <c r="B104" s="223"/>
      <c r="C104" s="223"/>
      <c r="D104" s="223"/>
      <c r="E104" s="223"/>
      <c r="F104" s="223"/>
      <c r="G104" s="223"/>
      <c r="H104" s="224"/>
      <c r="I104" s="1">
        <v>97</v>
      </c>
      <c r="J104" s="7">
        <v>1029860</v>
      </c>
      <c r="K104" s="7">
        <v>13352330</v>
      </c>
    </row>
    <row r="105" spans="1:11" ht="12.75">
      <c r="A105" s="222" t="s">
        <v>242</v>
      </c>
      <c r="B105" s="223"/>
      <c r="C105" s="223"/>
      <c r="D105" s="223"/>
      <c r="E105" s="223"/>
      <c r="F105" s="223"/>
      <c r="G105" s="223"/>
      <c r="H105" s="224"/>
      <c r="I105" s="1">
        <v>98</v>
      </c>
      <c r="J105" s="7">
        <v>49643486</v>
      </c>
      <c r="K105" s="7">
        <v>35450017</v>
      </c>
    </row>
    <row r="106" spans="1:11" ht="12.75">
      <c r="A106" s="222" t="s">
        <v>243</v>
      </c>
      <c r="B106" s="223"/>
      <c r="C106" s="223"/>
      <c r="D106" s="223"/>
      <c r="E106" s="223"/>
      <c r="F106" s="223"/>
      <c r="G106" s="223"/>
      <c r="H106" s="224"/>
      <c r="I106" s="1">
        <v>99</v>
      </c>
      <c r="J106" s="7"/>
      <c r="K106" s="7"/>
    </row>
    <row r="107" spans="1:11" ht="12.75">
      <c r="A107" s="222" t="s">
        <v>94</v>
      </c>
      <c r="B107" s="223"/>
      <c r="C107" s="223"/>
      <c r="D107" s="223"/>
      <c r="E107" s="223"/>
      <c r="F107" s="223"/>
      <c r="G107" s="223"/>
      <c r="H107" s="224"/>
      <c r="I107" s="1">
        <v>100</v>
      </c>
      <c r="J107" s="7">
        <v>55890</v>
      </c>
      <c r="K107" s="7">
        <v>0</v>
      </c>
    </row>
    <row r="108" spans="1:11" ht="12.75">
      <c r="A108" s="222" t="s">
        <v>95</v>
      </c>
      <c r="B108" s="223"/>
      <c r="C108" s="223"/>
      <c r="D108" s="223"/>
      <c r="E108" s="223"/>
      <c r="F108" s="223"/>
      <c r="G108" s="223"/>
      <c r="H108" s="224"/>
      <c r="I108" s="1">
        <v>101</v>
      </c>
      <c r="J108" s="7">
        <v>3977472</v>
      </c>
      <c r="K108" s="7">
        <v>3957905</v>
      </c>
    </row>
    <row r="109" spans="1:11" ht="12.75">
      <c r="A109" s="222" t="s">
        <v>96</v>
      </c>
      <c r="B109" s="223"/>
      <c r="C109" s="223"/>
      <c r="D109" s="223"/>
      <c r="E109" s="223"/>
      <c r="F109" s="223"/>
      <c r="G109" s="223"/>
      <c r="H109" s="224"/>
      <c r="I109" s="1">
        <v>102</v>
      </c>
      <c r="J109" s="7">
        <v>11721690</v>
      </c>
      <c r="K109" s="7">
        <v>3125946</v>
      </c>
    </row>
    <row r="110" spans="1:11" ht="12.75">
      <c r="A110" s="222" t="s">
        <v>99</v>
      </c>
      <c r="B110" s="223"/>
      <c r="C110" s="223"/>
      <c r="D110" s="223"/>
      <c r="E110" s="223"/>
      <c r="F110" s="223"/>
      <c r="G110" s="223"/>
      <c r="H110" s="224"/>
      <c r="I110" s="1">
        <v>103</v>
      </c>
      <c r="J110" s="7"/>
      <c r="K110" s="7"/>
    </row>
    <row r="111" spans="1:11" ht="12.75">
      <c r="A111" s="222" t="s">
        <v>97</v>
      </c>
      <c r="B111" s="223"/>
      <c r="C111" s="223"/>
      <c r="D111" s="223"/>
      <c r="E111" s="223"/>
      <c r="F111" s="223"/>
      <c r="G111" s="223"/>
      <c r="H111" s="224"/>
      <c r="I111" s="1">
        <v>104</v>
      </c>
      <c r="J111" s="7"/>
      <c r="K111" s="7"/>
    </row>
    <row r="112" spans="1:11" ht="12.75">
      <c r="A112" s="222" t="s">
        <v>98</v>
      </c>
      <c r="B112" s="223"/>
      <c r="C112" s="223"/>
      <c r="D112" s="223"/>
      <c r="E112" s="223"/>
      <c r="F112" s="223"/>
      <c r="G112" s="223"/>
      <c r="H112" s="224"/>
      <c r="I112" s="1">
        <v>105</v>
      </c>
      <c r="J112" s="7">
        <v>3487424</v>
      </c>
      <c r="K112" s="7">
        <v>3348499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3599622</v>
      </c>
      <c r="K113" s="7">
        <v>9737166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121">
        <f>J69+J86+J90+J100+J113</f>
        <v>402494994</v>
      </c>
      <c r="K114" s="121">
        <f>K69+K86+K90+K100+K113</f>
        <v>366953769</v>
      </c>
    </row>
    <row r="115" spans="1:11" ht="12.75">
      <c r="A115" s="236" t="s">
        <v>57</v>
      </c>
      <c r="B115" s="237"/>
      <c r="C115" s="237"/>
      <c r="D115" s="237"/>
      <c r="E115" s="237"/>
      <c r="F115" s="237"/>
      <c r="G115" s="237"/>
      <c r="H115" s="238"/>
      <c r="I115" s="2">
        <v>108</v>
      </c>
      <c r="J115" s="8">
        <f>+J114-J66</f>
        <v>0</v>
      </c>
      <c r="K115" s="8">
        <f>+K66-K114</f>
        <v>0</v>
      </c>
    </row>
    <row r="116" spans="1:11" ht="12.75">
      <c r="A116" s="239" t="s">
        <v>307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2.75">
      <c r="A117" s="204" t="s">
        <v>185</v>
      </c>
      <c r="B117" s="205"/>
      <c r="C117" s="205"/>
      <c r="D117" s="205"/>
      <c r="E117" s="205"/>
      <c r="F117" s="205"/>
      <c r="G117" s="205"/>
      <c r="H117" s="205"/>
      <c r="I117" s="243"/>
      <c r="J117" s="243"/>
      <c r="K117" s="244"/>
    </row>
    <row r="118" spans="1:11" ht="12.75">
      <c r="A118" s="222" t="s">
        <v>8</v>
      </c>
      <c r="B118" s="223"/>
      <c r="C118" s="223"/>
      <c r="D118" s="223"/>
      <c r="E118" s="223"/>
      <c r="F118" s="223"/>
      <c r="G118" s="223"/>
      <c r="H118" s="224"/>
      <c r="I118" s="1">
        <v>109</v>
      </c>
      <c r="J118" s="7"/>
      <c r="K118" s="7"/>
    </row>
    <row r="119" spans="1:11" ht="12.75">
      <c r="A119" s="245" t="s">
        <v>9</v>
      </c>
      <c r="B119" s="246"/>
      <c r="C119" s="246"/>
      <c r="D119" s="246"/>
      <c r="E119" s="246"/>
      <c r="F119" s="246"/>
      <c r="G119" s="246"/>
      <c r="H119" s="247"/>
      <c r="I119" s="4">
        <v>110</v>
      </c>
      <c r="J119" s="8"/>
      <c r="K119" s="8"/>
    </row>
    <row r="120" spans="1:11" ht="12.75">
      <c r="A120" s="248" t="s">
        <v>308</v>
      </c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1:11" ht="12.75">
      <c r="A121" s="234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showGridLines="0" view="pageBreakPreview" zoomScale="110" zoomScaleSheetLayoutView="110" zoomScalePageLayoutView="0" workbookViewId="0" topLeftCell="A1">
      <selection activeCell="A68" sqref="A68:M68"/>
    </sheetView>
  </sheetViews>
  <sheetFormatPr defaultColWidth="9.140625" defaultRowHeight="12.75" outlineLevelCol="1"/>
  <cols>
    <col min="1" max="1" width="53.8515625" style="52" customWidth="1"/>
    <col min="2" max="7" width="9.140625" style="52" hidden="1" customWidth="1" outlineLevel="1"/>
    <col min="8" max="8" width="21.421875" style="52" hidden="1" customWidth="1" outlineLevel="1"/>
    <col min="9" max="9" width="9.140625" style="52" customWidth="1" collapsed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10" t="s">
        <v>154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2"/>
    </row>
    <row r="2" spans="1:13" ht="12.75" customHeight="1">
      <c r="A2" s="264" t="s">
        <v>343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6"/>
    </row>
    <row r="3" spans="1:13" ht="12.75" customHeight="1">
      <c r="A3" s="250" t="s">
        <v>335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2"/>
    </row>
    <row r="4" spans="1:13" ht="23.25" customHeight="1">
      <c r="A4" s="219" t="s">
        <v>59</v>
      </c>
      <c r="B4" s="220"/>
      <c r="C4" s="220"/>
      <c r="D4" s="220"/>
      <c r="E4" s="220"/>
      <c r="F4" s="220"/>
      <c r="G4" s="220"/>
      <c r="H4" s="221"/>
      <c r="I4" s="129" t="s">
        <v>276</v>
      </c>
      <c r="J4" s="253" t="s">
        <v>316</v>
      </c>
      <c r="K4" s="253"/>
      <c r="L4" s="253" t="s">
        <v>317</v>
      </c>
      <c r="M4" s="253"/>
    </row>
    <row r="5" spans="1:13" ht="22.5">
      <c r="A5" s="273"/>
      <c r="B5" s="274"/>
      <c r="C5" s="274"/>
      <c r="D5" s="274"/>
      <c r="E5" s="274"/>
      <c r="F5" s="274"/>
      <c r="G5" s="274"/>
      <c r="H5" s="275"/>
      <c r="I5" s="55"/>
      <c r="J5" s="56" t="s">
        <v>311</v>
      </c>
      <c r="K5" s="56" t="s">
        <v>312</v>
      </c>
      <c r="L5" s="56" t="s">
        <v>311</v>
      </c>
      <c r="M5" s="56" t="s">
        <v>312</v>
      </c>
    </row>
    <row r="6" spans="1:13" ht="12.75">
      <c r="A6" s="270">
        <v>1</v>
      </c>
      <c r="B6" s="271"/>
      <c r="C6" s="271"/>
      <c r="D6" s="271"/>
      <c r="E6" s="271"/>
      <c r="F6" s="271"/>
      <c r="G6" s="271"/>
      <c r="H6" s="272"/>
      <c r="I6" s="58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 customHeight="1">
      <c r="A7" s="204" t="s">
        <v>26</v>
      </c>
      <c r="B7" s="205"/>
      <c r="C7" s="205"/>
      <c r="D7" s="205"/>
      <c r="E7" s="205"/>
      <c r="F7" s="205"/>
      <c r="G7" s="205"/>
      <c r="H7" s="206"/>
      <c r="I7" s="3">
        <v>111</v>
      </c>
      <c r="J7" s="122">
        <f>SUM(J8:J9)</f>
        <v>514005595</v>
      </c>
      <c r="K7" s="122">
        <f>SUM(K8:K9)</f>
        <v>112377945</v>
      </c>
      <c r="L7" s="122">
        <f>SUM(L8:L9)</f>
        <v>252328631</v>
      </c>
      <c r="M7" s="122">
        <f>SUM(M8:M9)</f>
        <v>46589953</v>
      </c>
    </row>
    <row r="8" spans="1:13" ht="12.75" customHeight="1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f>97768+480397028</f>
        <v>480494796</v>
      </c>
      <c r="K8" s="7">
        <f>+J8-379898432</f>
        <v>100596364</v>
      </c>
      <c r="L8" s="7">
        <f>140511+227109422</f>
        <v>227249933</v>
      </c>
      <c r="M8" s="7">
        <f>+L8-186521744</f>
        <v>40728189</v>
      </c>
    </row>
    <row r="9" spans="1:13" ht="12.75" customHeight="1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33510799</v>
      </c>
      <c r="K9" s="7">
        <f>+J9-21729218</f>
        <v>11781581</v>
      </c>
      <c r="L9" s="7">
        <f>17360129+223750+7494819</f>
        <v>25078698</v>
      </c>
      <c r="M9" s="7">
        <f>+L9-19216934</f>
        <v>5861764</v>
      </c>
    </row>
    <row r="10" spans="1:13" ht="12.75" customHeight="1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121">
        <f>J11+J12+J16+J20+J21+J22+J25+J26</f>
        <v>460398516</v>
      </c>
      <c r="K10" s="121">
        <f>K11+K12+K16+K20+K21+K22+K25+K26</f>
        <v>99435038</v>
      </c>
      <c r="L10" s="121">
        <f>L11+L12+L16+L20+L21+L22+L25+L26</f>
        <v>271016837</v>
      </c>
      <c r="M10" s="121">
        <f>M11+M12+M16+M20+M21+M22+M25+M26</f>
        <v>55408789</v>
      </c>
    </row>
    <row r="11" spans="1:13" ht="12.75" customHeight="1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>
        <v>3367976</v>
      </c>
      <c r="K11" s="7">
        <f>+J11-3372189</f>
        <v>-4213</v>
      </c>
      <c r="L11" s="7">
        <v>110546</v>
      </c>
      <c r="M11" s="7">
        <f>+L11-2751642</f>
        <v>-2641096</v>
      </c>
    </row>
    <row r="12" spans="1:13" ht="12.75" customHeight="1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121">
        <f>SUM(J13:J15)</f>
        <v>337383753</v>
      </c>
      <c r="K12" s="121">
        <f>SUM(K13:K15)</f>
        <v>57929227</v>
      </c>
      <c r="L12" s="121">
        <f>SUM(L13:L15)</f>
        <v>168373887</v>
      </c>
      <c r="M12" s="121">
        <f>SUM(M13:M15)</f>
        <v>30547502</v>
      </c>
    </row>
    <row r="13" spans="1:13" ht="12.75" customHeight="1">
      <c r="A13" s="222" t="s">
        <v>146</v>
      </c>
      <c r="B13" s="223"/>
      <c r="C13" s="223"/>
      <c r="D13" s="223"/>
      <c r="E13" s="223"/>
      <c r="F13" s="223"/>
      <c r="G13" s="223"/>
      <c r="H13" s="224"/>
      <c r="I13" s="1">
        <v>117</v>
      </c>
      <c r="J13" s="7">
        <v>76193158</v>
      </c>
      <c r="K13" s="7">
        <f>+J13-61772071</f>
        <v>14421087</v>
      </c>
      <c r="L13" s="7">
        <v>44360890</v>
      </c>
      <c r="M13" s="7">
        <f>+L13-35648445</f>
        <v>8712445</v>
      </c>
    </row>
    <row r="14" spans="1:13" ht="12.75" customHeight="1">
      <c r="A14" s="222" t="s">
        <v>147</v>
      </c>
      <c r="B14" s="223"/>
      <c r="C14" s="223"/>
      <c r="D14" s="223"/>
      <c r="E14" s="223"/>
      <c r="F14" s="223"/>
      <c r="G14" s="223"/>
      <c r="H14" s="224"/>
      <c r="I14" s="1">
        <v>118</v>
      </c>
      <c r="J14" s="7"/>
      <c r="K14" s="7">
        <f>+J14-0</f>
        <v>0</v>
      </c>
      <c r="L14" s="7"/>
      <c r="M14" s="7">
        <f>+L14-0</f>
        <v>0</v>
      </c>
    </row>
    <row r="15" spans="1:13" ht="12.75" customHeight="1">
      <c r="A15" s="222" t="s">
        <v>61</v>
      </c>
      <c r="B15" s="223"/>
      <c r="C15" s="223"/>
      <c r="D15" s="223"/>
      <c r="E15" s="223"/>
      <c r="F15" s="223"/>
      <c r="G15" s="223"/>
      <c r="H15" s="224"/>
      <c r="I15" s="1">
        <v>119</v>
      </c>
      <c r="J15" s="7">
        <v>261190595</v>
      </c>
      <c r="K15" s="7">
        <f>+J15-217682455</f>
        <v>43508140</v>
      </c>
      <c r="L15" s="7">
        <v>124012997</v>
      </c>
      <c r="M15" s="7">
        <f>+L15-102177940</f>
        <v>21835057</v>
      </c>
    </row>
    <row r="16" spans="1:13" ht="12.75" customHeight="1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121">
        <f>SUM(J17:J19)</f>
        <v>65186823</v>
      </c>
      <c r="K16" s="121">
        <f>SUM(K17:K19)</f>
        <v>17855438</v>
      </c>
      <c r="L16" s="121">
        <f>SUM(L17:L19)</f>
        <v>63105416</v>
      </c>
      <c r="M16" s="121">
        <f>SUM(M17:M19)</f>
        <v>16308139</v>
      </c>
    </row>
    <row r="17" spans="1:13" ht="12.75" customHeight="1">
      <c r="A17" s="222" t="s">
        <v>62</v>
      </c>
      <c r="B17" s="223"/>
      <c r="C17" s="223"/>
      <c r="D17" s="223"/>
      <c r="E17" s="223"/>
      <c r="F17" s="223"/>
      <c r="G17" s="223"/>
      <c r="H17" s="224"/>
      <c r="I17" s="1">
        <v>121</v>
      </c>
      <c r="J17" s="7">
        <v>39311125</v>
      </c>
      <c r="K17" s="7">
        <f>+J17-28606848</f>
        <v>10704277</v>
      </c>
      <c r="L17" s="7">
        <v>37839457</v>
      </c>
      <c r="M17" s="7">
        <f>+L17-28081903</f>
        <v>9757554</v>
      </c>
    </row>
    <row r="18" spans="1:13" ht="12.75" customHeight="1">
      <c r="A18" s="222" t="s">
        <v>63</v>
      </c>
      <c r="B18" s="223"/>
      <c r="C18" s="223"/>
      <c r="D18" s="223"/>
      <c r="E18" s="223"/>
      <c r="F18" s="223"/>
      <c r="G18" s="223"/>
      <c r="H18" s="224"/>
      <c r="I18" s="1">
        <v>122</v>
      </c>
      <c r="J18" s="7">
        <v>15651631</v>
      </c>
      <c r="K18" s="7">
        <f>+J18-11327333</f>
        <v>4324298</v>
      </c>
      <c r="L18" s="7">
        <v>15367437</v>
      </c>
      <c r="M18" s="7">
        <f>+L18-11390568</f>
        <v>3976869</v>
      </c>
    </row>
    <row r="19" spans="1:13" ht="12.75" customHeight="1">
      <c r="A19" s="222" t="s">
        <v>64</v>
      </c>
      <c r="B19" s="223"/>
      <c r="C19" s="223"/>
      <c r="D19" s="223"/>
      <c r="E19" s="223"/>
      <c r="F19" s="223"/>
      <c r="G19" s="223"/>
      <c r="H19" s="224"/>
      <c r="I19" s="1">
        <v>123</v>
      </c>
      <c r="J19" s="7">
        <v>10224067</v>
      </c>
      <c r="K19" s="7">
        <f>+J19-7397204</f>
        <v>2826863</v>
      </c>
      <c r="L19" s="7">
        <v>9898522</v>
      </c>
      <c r="M19" s="7">
        <f>+L19-7324806</f>
        <v>2573716</v>
      </c>
    </row>
    <row r="20" spans="1:13" ht="12.75" customHeight="1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26501036</v>
      </c>
      <c r="K20" s="7">
        <f>+J20-17682219</f>
        <v>8818817</v>
      </c>
      <c r="L20" s="7">
        <v>22823547</v>
      </c>
      <c r="M20" s="7">
        <f>+L20-17065967</f>
        <v>5757580</v>
      </c>
    </row>
    <row r="21" spans="1:13" ht="12.75" customHeight="1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f>12977954+5237432+144000</f>
        <v>18359386</v>
      </c>
      <c r="K21" s="7">
        <f>+J21-12288806</f>
        <v>6070580</v>
      </c>
      <c r="L21" s="7">
        <v>14394777</v>
      </c>
      <c r="M21" s="7">
        <f>+L21-10686861</f>
        <v>3707916</v>
      </c>
    </row>
    <row r="22" spans="1:13" ht="12.75" customHeight="1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121">
        <f>SUM(J23:J24)</f>
        <v>4525953</v>
      </c>
      <c r="K22" s="121">
        <f>SUM(K23:K24)</f>
        <v>4469459</v>
      </c>
      <c r="L22" s="121">
        <f>SUM(L23:L24)</f>
        <v>808920</v>
      </c>
      <c r="M22" s="121">
        <f>SUM(M23:M24)</f>
        <v>808920</v>
      </c>
    </row>
    <row r="23" spans="1:13" ht="12.75" customHeight="1">
      <c r="A23" s="222" t="s">
        <v>137</v>
      </c>
      <c r="B23" s="223"/>
      <c r="C23" s="223"/>
      <c r="D23" s="223"/>
      <c r="E23" s="223"/>
      <c r="F23" s="223"/>
      <c r="G23" s="223"/>
      <c r="H23" s="224"/>
      <c r="I23" s="1">
        <v>127</v>
      </c>
      <c r="J23" s="7">
        <v>1514294</v>
      </c>
      <c r="K23" s="7">
        <f>+J23-0</f>
        <v>1514294</v>
      </c>
      <c r="L23" s="7"/>
      <c r="M23" s="7">
        <f aca="true" t="shared" si="0" ref="M23:M41">+L23-0</f>
        <v>0</v>
      </c>
    </row>
    <row r="24" spans="1:13" ht="12.75" customHeight="1">
      <c r="A24" s="222" t="s">
        <v>138</v>
      </c>
      <c r="B24" s="223"/>
      <c r="C24" s="223"/>
      <c r="D24" s="223"/>
      <c r="E24" s="223"/>
      <c r="F24" s="223"/>
      <c r="G24" s="223"/>
      <c r="H24" s="224"/>
      <c r="I24" s="1">
        <v>128</v>
      </c>
      <c r="J24" s="7">
        <f>2476301+535358</f>
        <v>3011659</v>
      </c>
      <c r="K24" s="7">
        <f>+J24-56494</f>
        <v>2955165</v>
      </c>
      <c r="L24" s="7">
        <v>808920</v>
      </c>
      <c r="M24" s="7">
        <f t="shared" si="0"/>
        <v>808920</v>
      </c>
    </row>
    <row r="25" spans="1:13" ht="12.75" customHeight="1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>
        <v>3393797</v>
      </c>
      <c r="K25" s="7">
        <f>+J25-669001</f>
        <v>2724796</v>
      </c>
      <c r="L25" s="7">
        <v>820831</v>
      </c>
      <c r="M25" s="7">
        <f>+L25-16850</f>
        <v>803981</v>
      </c>
    </row>
    <row r="26" spans="1:13" ht="12.75" customHeight="1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1679792</v>
      </c>
      <c r="K26" s="7">
        <f>+J26-108858</f>
        <v>1570934</v>
      </c>
      <c r="L26" s="7">
        <v>578913</v>
      </c>
      <c r="M26" s="7">
        <f>+L26-463066</f>
        <v>115847</v>
      </c>
    </row>
    <row r="27" spans="1:13" ht="12.75" customHeight="1">
      <c r="A27" s="207" t="s">
        <v>211</v>
      </c>
      <c r="B27" s="208"/>
      <c r="C27" s="208"/>
      <c r="D27" s="208"/>
      <c r="E27" s="208"/>
      <c r="F27" s="208"/>
      <c r="G27" s="208"/>
      <c r="H27" s="209"/>
      <c r="I27" s="1">
        <v>131</v>
      </c>
      <c r="J27" s="121">
        <f>SUM(J28:J32)</f>
        <v>7223914</v>
      </c>
      <c r="K27" s="121">
        <f>SUM(K28:K32)</f>
        <v>1502094</v>
      </c>
      <c r="L27" s="121">
        <f>SUM(L28:L32)</f>
        <v>2427142</v>
      </c>
      <c r="M27" s="121">
        <f>SUM(M28:M32)</f>
        <v>379834</v>
      </c>
    </row>
    <row r="28" spans="1:13" ht="24.75" customHeight="1">
      <c r="A28" s="207" t="s">
        <v>338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/>
      <c r="K28" s="7">
        <f>+J28-0</f>
        <v>0</v>
      </c>
      <c r="L28" s="7"/>
      <c r="M28" s="7">
        <f t="shared" si="0"/>
        <v>0</v>
      </c>
    </row>
    <row r="29" spans="1:13" ht="25.5" customHeight="1">
      <c r="A29" s="207" t="s">
        <v>339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7223914</v>
      </c>
      <c r="K29" s="7">
        <f>+J29-5721820</f>
        <v>1502094</v>
      </c>
      <c r="L29" s="7">
        <v>2427142</v>
      </c>
      <c r="M29" s="7">
        <f>+L29-2047308</f>
        <v>379834</v>
      </c>
    </row>
    <row r="30" spans="1:13" ht="12.75" customHeight="1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>
        <f>+J30-0</f>
        <v>0</v>
      </c>
      <c r="L30" s="7"/>
      <c r="M30" s="7">
        <f t="shared" si="0"/>
        <v>0</v>
      </c>
    </row>
    <row r="31" spans="1:13" ht="12.75" customHeight="1">
      <c r="A31" s="207" t="s">
        <v>221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>
        <f>+J31-0</f>
        <v>0</v>
      </c>
      <c r="L31" s="7"/>
      <c r="M31" s="7">
        <f t="shared" si="0"/>
        <v>0</v>
      </c>
    </row>
    <row r="32" spans="1:13" ht="12.75" customHeight="1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/>
      <c r="K32" s="7">
        <f>+J32-0</f>
        <v>0</v>
      </c>
      <c r="L32" s="7"/>
      <c r="M32" s="7">
        <f t="shared" si="0"/>
        <v>0</v>
      </c>
    </row>
    <row r="33" spans="1:13" ht="12.75" customHeight="1">
      <c r="A33" s="207" t="s">
        <v>212</v>
      </c>
      <c r="B33" s="208"/>
      <c r="C33" s="208"/>
      <c r="D33" s="208"/>
      <c r="E33" s="208"/>
      <c r="F33" s="208"/>
      <c r="G33" s="208"/>
      <c r="H33" s="209"/>
      <c r="I33" s="1">
        <v>137</v>
      </c>
      <c r="J33" s="121">
        <f>SUM(J34:J37)</f>
        <v>15234924</v>
      </c>
      <c r="K33" s="121">
        <f>SUM(K34:K37)</f>
        <v>2607723</v>
      </c>
      <c r="L33" s="121">
        <f>SUM(L34:L37)</f>
        <v>5290321</v>
      </c>
      <c r="M33" s="121">
        <f>SUM(M34:M37)</f>
        <v>1132903</v>
      </c>
    </row>
    <row r="34" spans="1:13" ht="24.75" customHeight="1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>
        <f aca="true" t="shared" si="1" ref="K34:K41">+J34-0</f>
        <v>0</v>
      </c>
      <c r="L34" s="7"/>
      <c r="M34" s="7">
        <f t="shared" si="0"/>
        <v>0</v>
      </c>
    </row>
    <row r="35" spans="1:13" ht="21" customHeight="1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15234924</v>
      </c>
      <c r="K35" s="7">
        <f>+J35-12627201</f>
        <v>2607723</v>
      </c>
      <c r="L35" s="7">
        <v>5290321</v>
      </c>
      <c r="M35" s="7">
        <f>+L35-4157418</f>
        <v>1132903</v>
      </c>
    </row>
    <row r="36" spans="1:13" ht="12.75" customHeight="1">
      <c r="A36" s="207" t="s">
        <v>222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>
        <f t="shared" si="1"/>
        <v>0</v>
      </c>
      <c r="L36" s="7"/>
      <c r="M36" s="7">
        <f t="shared" si="0"/>
        <v>0</v>
      </c>
    </row>
    <row r="37" spans="1:13" ht="12.75" customHeight="1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>
        <f t="shared" si="1"/>
        <v>0</v>
      </c>
      <c r="L37" s="7"/>
      <c r="M37" s="7">
        <f t="shared" si="0"/>
        <v>0</v>
      </c>
    </row>
    <row r="38" spans="1:13" ht="12.75" customHeight="1">
      <c r="A38" s="207" t="s">
        <v>193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>
        <f t="shared" si="1"/>
        <v>0</v>
      </c>
      <c r="L38" s="7"/>
      <c r="M38" s="7">
        <f t="shared" si="0"/>
        <v>0</v>
      </c>
    </row>
    <row r="39" spans="1:13" ht="12.75" customHeight="1">
      <c r="A39" s="207" t="s">
        <v>194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>
        <f t="shared" si="1"/>
        <v>0</v>
      </c>
      <c r="L39" s="7"/>
      <c r="M39" s="7">
        <f t="shared" si="0"/>
        <v>0</v>
      </c>
    </row>
    <row r="40" spans="1:13" ht="12.75" customHeight="1">
      <c r="A40" s="207" t="s">
        <v>223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>
        <f t="shared" si="1"/>
        <v>0</v>
      </c>
      <c r="L40" s="7"/>
      <c r="M40" s="7">
        <f t="shared" si="0"/>
        <v>0</v>
      </c>
    </row>
    <row r="41" spans="1:13" ht="12.75" customHeight="1">
      <c r="A41" s="207" t="s">
        <v>224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>
        <f t="shared" si="1"/>
        <v>0</v>
      </c>
      <c r="L41" s="7"/>
      <c r="M41" s="7">
        <f t="shared" si="0"/>
        <v>0</v>
      </c>
    </row>
    <row r="42" spans="1:13" ht="12.75" customHeight="1">
      <c r="A42" s="207" t="s">
        <v>213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521229509</v>
      </c>
      <c r="K42" s="53">
        <f>K7+K27+K38+K40</f>
        <v>113880039</v>
      </c>
      <c r="L42" s="53">
        <f>L7+L27+L38+L40</f>
        <v>254755773</v>
      </c>
      <c r="M42" s="53">
        <f>M7+M27+M38+M40</f>
        <v>46969787</v>
      </c>
    </row>
    <row r="43" spans="1:13" ht="12.75" customHeight="1">
      <c r="A43" s="207" t="s">
        <v>214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475633440</v>
      </c>
      <c r="K43" s="53">
        <f>K10+K33+K39+K41</f>
        <v>102042761</v>
      </c>
      <c r="L43" s="53">
        <f>L10+L33+L39+L41</f>
        <v>276307158</v>
      </c>
      <c r="M43" s="53">
        <f>M10+M33+M39+M41</f>
        <v>56541692</v>
      </c>
    </row>
    <row r="44" spans="1:13" ht="12.75" customHeight="1">
      <c r="A44" s="207" t="s">
        <v>233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45596069</v>
      </c>
      <c r="K44" s="53">
        <f>K42-K43</f>
        <v>11837278</v>
      </c>
      <c r="L44" s="53">
        <f>L42-L43</f>
        <v>-21551385</v>
      </c>
      <c r="M44" s="53">
        <f>M42-M43</f>
        <v>-9571905</v>
      </c>
    </row>
    <row r="45" spans="1:13" ht="12.75" customHeight="1">
      <c r="A45" s="231" t="s">
        <v>216</v>
      </c>
      <c r="B45" s="232"/>
      <c r="C45" s="232"/>
      <c r="D45" s="232"/>
      <c r="E45" s="232"/>
      <c r="F45" s="232"/>
      <c r="G45" s="232"/>
      <c r="H45" s="233"/>
      <c r="I45" s="1">
        <v>149</v>
      </c>
      <c r="J45" s="53">
        <f>IF(J42&gt;J43,J42-J43,0)</f>
        <v>45596069</v>
      </c>
      <c r="K45" s="53">
        <f>IF(K42&gt;K43,K42-K43,0)</f>
        <v>11837278</v>
      </c>
      <c r="L45" s="53">
        <f>IF(L42&gt;L43,L42-L43,0)</f>
        <v>0</v>
      </c>
      <c r="M45" s="53">
        <f>IF(M42&gt;M43,M42-M43,0)</f>
        <v>0</v>
      </c>
    </row>
    <row r="46" spans="1:13" ht="12.75" customHeight="1">
      <c r="A46" s="231" t="s">
        <v>217</v>
      </c>
      <c r="B46" s="232"/>
      <c r="C46" s="232"/>
      <c r="D46" s="232"/>
      <c r="E46" s="232"/>
      <c r="F46" s="232"/>
      <c r="G46" s="232"/>
      <c r="H46" s="233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21551385</v>
      </c>
      <c r="M46" s="53">
        <f>IF(M43&gt;M42,M43-M42,0)</f>
        <v>9571905</v>
      </c>
    </row>
    <row r="47" spans="1:13" ht="12.75" customHeight="1">
      <c r="A47" s="207" t="s">
        <v>215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>
        <v>8569211</v>
      </c>
      <c r="K47" s="7">
        <f>+J47-6751758</f>
        <v>1817453</v>
      </c>
      <c r="L47" s="7">
        <v>0</v>
      </c>
      <c r="M47" s="7">
        <f>+L47-0</f>
        <v>0</v>
      </c>
    </row>
    <row r="48" spans="1:13" ht="12.75" customHeight="1">
      <c r="A48" s="207" t="s">
        <v>234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37026858</v>
      </c>
      <c r="K48" s="53">
        <f>K44-K47</f>
        <v>10019825</v>
      </c>
      <c r="L48" s="53">
        <f>L44-L47</f>
        <v>-21551385</v>
      </c>
      <c r="M48" s="53">
        <f>M44-M47</f>
        <v>-9571905</v>
      </c>
    </row>
    <row r="49" spans="1:13" ht="12.75" customHeight="1">
      <c r="A49" s="231" t="s">
        <v>190</v>
      </c>
      <c r="B49" s="232"/>
      <c r="C49" s="232"/>
      <c r="D49" s="232"/>
      <c r="E49" s="232"/>
      <c r="F49" s="232"/>
      <c r="G49" s="232"/>
      <c r="H49" s="233"/>
      <c r="I49" s="1">
        <v>153</v>
      </c>
      <c r="J49" s="53">
        <f>IF(J48&gt;0,J48,0)</f>
        <v>37026858</v>
      </c>
      <c r="K49" s="53">
        <f>IF(K48&gt;0,K48,0)</f>
        <v>10019825</v>
      </c>
      <c r="L49" s="53">
        <f>IF(L48&gt;0,L48,0)</f>
        <v>0</v>
      </c>
      <c r="M49" s="53">
        <f>IF(M48&gt;0,M48,0)</f>
        <v>0</v>
      </c>
    </row>
    <row r="50" spans="1:13" ht="12.75" customHeight="1">
      <c r="A50" s="258" t="s">
        <v>218</v>
      </c>
      <c r="B50" s="259"/>
      <c r="C50" s="259"/>
      <c r="D50" s="259"/>
      <c r="E50" s="259"/>
      <c r="F50" s="259"/>
      <c r="G50" s="259"/>
      <c r="H50" s="260"/>
      <c r="I50" s="2">
        <v>154</v>
      </c>
      <c r="J50" s="57">
        <f>IF(J48&lt;0,-J48,0)</f>
        <v>0</v>
      </c>
      <c r="K50" s="57">
        <f>IF(K48&lt;0,-K48,0)</f>
        <v>0</v>
      </c>
      <c r="L50" s="57">
        <f>IF(L48&lt;0,-L48,0)</f>
        <v>21551385</v>
      </c>
      <c r="M50" s="57">
        <f>IF(M48&lt;0,-M48,0)</f>
        <v>9571905</v>
      </c>
    </row>
    <row r="51" spans="1:13" ht="12.75" customHeight="1">
      <c r="A51" s="239" t="s">
        <v>309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57"/>
    </row>
    <row r="52" spans="1:13" ht="12.75" customHeight="1">
      <c r="A52" s="204" t="s">
        <v>186</v>
      </c>
      <c r="B52" s="205"/>
      <c r="C52" s="205"/>
      <c r="D52" s="205"/>
      <c r="E52" s="205"/>
      <c r="F52" s="205"/>
      <c r="G52" s="205"/>
      <c r="H52" s="205"/>
      <c r="I52" s="54"/>
      <c r="J52" s="54"/>
      <c r="K52" s="54"/>
      <c r="L52" s="54"/>
      <c r="M52" s="132"/>
    </row>
    <row r="53" spans="1:13" ht="12.75" customHeight="1">
      <c r="A53" s="261" t="s">
        <v>231</v>
      </c>
      <c r="B53" s="262"/>
      <c r="C53" s="262"/>
      <c r="D53" s="262"/>
      <c r="E53" s="262"/>
      <c r="F53" s="262"/>
      <c r="G53" s="262"/>
      <c r="H53" s="263"/>
      <c r="I53" s="1">
        <v>155</v>
      </c>
      <c r="J53" s="7"/>
      <c r="K53" s="7"/>
      <c r="L53" s="7"/>
      <c r="M53" s="7"/>
    </row>
    <row r="54" spans="1:13" ht="12.75" customHeight="1">
      <c r="A54" s="254" t="s">
        <v>232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/>
      <c r="K54" s="8"/>
      <c r="L54" s="8"/>
      <c r="M54" s="8"/>
    </row>
    <row r="55" spans="1:13" ht="12.75" customHeight="1">
      <c r="A55" s="239" t="s">
        <v>188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57"/>
    </row>
    <row r="56" spans="1:13" ht="12.75" customHeight="1">
      <c r="A56" s="204" t="s">
        <v>202</v>
      </c>
      <c r="B56" s="205"/>
      <c r="C56" s="205"/>
      <c r="D56" s="205"/>
      <c r="E56" s="205"/>
      <c r="F56" s="205"/>
      <c r="G56" s="205"/>
      <c r="H56" s="206"/>
      <c r="I56" s="9">
        <v>157</v>
      </c>
      <c r="J56" s="6">
        <f>+J49</f>
        <v>37026858</v>
      </c>
      <c r="K56" s="6">
        <f>+K49</f>
        <v>10019825</v>
      </c>
      <c r="L56" s="6">
        <f>+L48</f>
        <v>-21551385</v>
      </c>
      <c r="M56" s="6">
        <f>+M50</f>
        <v>9571905</v>
      </c>
    </row>
    <row r="57" spans="1:13" ht="12.75" customHeight="1">
      <c r="A57" s="207" t="s">
        <v>219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-342863</v>
      </c>
      <c r="K57" s="53">
        <f>SUM(K58:K64)</f>
        <v>-342863</v>
      </c>
      <c r="L57" s="53">
        <f>SUM(L58:L64)</f>
        <v>-80326</v>
      </c>
      <c r="M57" s="53">
        <f>SUM(M58:M64)</f>
        <v>-80326</v>
      </c>
    </row>
    <row r="58" spans="1:13" ht="12.75" customHeight="1">
      <c r="A58" s="207" t="s">
        <v>225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 customHeight="1">
      <c r="A59" s="207" t="s">
        <v>226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 customHeight="1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>
        <v>-342863</v>
      </c>
      <c r="K60" s="7">
        <f>+J60-0</f>
        <v>-342863</v>
      </c>
      <c r="L60" s="7">
        <v>-80326</v>
      </c>
      <c r="M60" s="7">
        <f>+L60-0</f>
        <v>-80326</v>
      </c>
    </row>
    <row r="61" spans="1:13" ht="12.75" customHeight="1">
      <c r="A61" s="207" t="s">
        <v>227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 customHeight="1">
      <c r="A62" s="207" t="s">
        <v>228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 customHeight="1">
      <c r="A63" s="207" t="s">
        <v>229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 customHeight="1">
      <c r="A64" s="207" t="s">
        <v>230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 customHeight="1">
      <c r="A65" s="207" t="s">
        <v>220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>
        <v>-61715</v>
      </c>
      <c r="K65" s="7">
        <f>+J65-0</f>
        <v>-61715</v>
      </c>
      <c r="L65" s="7">
        <v>-14459</v>
      </c>
      <c r="M65" s="7">
        <f>+L65-0</f>
        <v>-14459</v>
      </c>
    </row>
    <row r="66" spans="1:13" ht="12.75" customHeight="1">
      <c r="A66" s="207" t="s">
        <v>191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-281148</v>
      </c>
      <c r="K66" s="53">
        <f>K57-K65</f>
        <v>-281148</v>
      </c>
      <c r="L66" s="53">
        <f>L57-L65</f>
        <v>-65867</v>
      </c>
      <c r="M66" s="53">
        <f>M57-M65</f>
        <v>-65867</v>
      </c>
    </row>
    <row r="67" spans="1:13" ht="12.75" customHeight="1">
      <c r="A67" s="225" t="s">
        <v>192</v>
      </c>
      <c r="B67" s="226"/>
      <c r="C67" s="226"/>
      <c r="D67" s="226"/>
      <c r="E67" s="226"/>
      <c r="F67" s="226"/>
      <c r="G67" s="226"/>
      <c r="H67" s="227"/>
      <c r="I67" s="1">
        <v>168</v>
      </c>
      <c r="J67" s="57">
        <f>J56+J66</f>
        <v>36745710</v>
      </c>
      <c r="K67" s="57">
        <f>K56+K66</f>
        <v>9738677</v>
      </c>
      <c r="L67" s="57">
        <f>L56+L66</f>
        <v>-21617252</v>
      </c>
      <c r="M67" s="57">
        <f>-M56+M66</f>
        <v>-9637772</v>
      </c>
    </row>
    <row r="68" spans="1:13" ht="12.75" customHeight="1">
      <c r="A68" s="267" t="s">
        <v>310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9"/>
    </row>
    <row r="69" spans="1:13" ht="12.75" customHeight="1">
      <c r="A69" s="276" t="s">
        <v>187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8"/>
    </row>
    <row r="70" spans="1:13" ht="12.75" customHeight="1">
      <c r="A70" s="261" t="s">
        <v>231</v>
      </c>
      <c r="B70" s="262"/>
      <c r="C70" s="262"/>
      <c r="D70" s="262"/>
      <c r="E70" s="262"/>
      <c r="F70" s="262"/>
      <c r="G70" s="262"/>
      <c r="H70" s="263"/>
      <c r="I70" s="1">
        <v>169</v>
      </c>
      <c r="J70" s="7"/>
      <c r="K70" s="7"/>
      <c r="L70" s="7"/>
      <c r="M70" s="7"/>
    </row>
    <row r="71" spans="1:13" ht="12.75" customHeight="1">
      <c r="A71" s="254" t="s">
        <v>232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/>
      <c r="K71" s="8"/>
      <c r="L71" s="8"/>
      <c r="M71" s="8"/>
    </row>
  </sheetData>
  <sheetProtection/>
  <mergeCells count="73">
    <mergeCell ref="A71:H71"/>
    <mergeCell ref="A9:H9"/>
    <mergeCell ref="A8:H8"/>
    <mergeCell ref="A7:H7"/>
    <mergeCell ref="A6:H6"/>
    <mergeCell ref="A5:H5"/>
    <mergeCell ref="A69:M69"/>
    <mergeCell ref="A70:H70"/>
    <mergeCell ref="A59:H59"/>
    <mergeCell ref="A60:H60"/>
    <mergeCell ref="A2:M2"/>
    <mergeCell ref="A1:M1"/>
    <mergeCell ref="A65:H65"/>
    <mergeCell ref="A66:H66"/>
    <mergeCell ref="A67:H67"/>
    <mergeCell ref="A68:M68"/>
    <mergeCell ref="A62:H62"/>
    <mergeCell ref="A63:H63"/>
    <mergeCell ref="A64:H64"/>
    <mergeCell ref="A58:H58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6:H16"/>
    <mergeCell ref="A17:H17"/>
    <mergeCell ref="A10:H10"/>
    <mergeCell ref="A11:H11"/>
    <mergeCell ref="A12:H12"/>
    <mergeCell ref="A13:H13"/>
    <mergeCell ref="A3:M3"/>
    <mergeCell ref="A4:H4"/>
    <mergeCell ref="J4:K4"/>
    <mergeCell ref="L4:M4"/>
    <mergeCell ref="A14:H14"/>
    <mergeCell ref="A15:H1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K22" sqref="K22:K33"/>
    </sheetView>
  </sheetViews>
  <sheetFormatPr defaultColWidth="9.140625" defaultRowHeight="12.75"/>
  <cols>
    <col min="1" max="6" width="9.140625" style="52" customWidth="1"/>
    <col min="7" max="7" width="5.57421875" style="52" customWidth="1"/>
    <col min="8" max="8" width="10.140625" style="52" customWidth="1"/>
    <col min="9" max="9" width="9.140625" style="52" customWidth="1"/>
    <col min="10" max="10" width="12.00390625" style="52" customWidth="1"/>
    <col min="11" max="11" width="9.421875" style="52" bestFit="1" customWidth="1"/>
    <col min="12" max="16384" width="9.140625" style="52" customWidth="1"/>
  </cols>
  <sheetData>
    <row r="1" spans="1:11" ht="12.75" customHeight="1">
      <c r="A1" s="282" t="s">
        <v>163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83" t="s">
        <v>343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79" t="s">
        <v>334</v>
      </c>
      <c r="B3" s="280"/>
      <c r="C3" s="280"/>
      <c r="D3" s="280"/>
      <c r="E3" s="280"/>
      <c r="F3" s="280"/>
      <c r="G3" s="280"/>
      <c r="H3" s="280"/>
      <c r="I3" s="280"/>
      <c r="J3" s="280"/>
      <c r="K3" s="281"/>
    </row>
    <row r="4" spans="1:11" ht="23.25">
      <c r="A4" s="284" t="s">
        <v>59</v>
      </c>
      <c r="B4" s="284"/>
      <c r="C4" s="284"/>
      <c r="D4" s="284"/>
      <c r="E4" s="284"/>
      <c r="F4" s="284"/>
      <c r="G4" s="284"/>
      <c r="H4" s="284"/>
      <c r="I4" s="61" t="s">
        <v>276</v>
      </c>
      <c r="J4" s="62" t="s">
        <v>316</v>
      </c>
      <c r="K4" s="62" t="s">
        <v>317</v>
      </c>
    </row>
    <row r="5" spans="1:11" ht="8.25" customHeight="1">
      <c r="A5" s="285">
        <v>1</v>
      </c>
      <c r="B5" s="285"/>
      <c r="C5" s="285"/>
      <c r="D5" s="285"/>
      <c r="E5" s="285"/>
      <c r="F5" s="285"/>
      <c r="G5" s="285"/>
      <c r="H5" s="285"/>
      <c r="I5" s="63">
        <v>2</v>
      </c>
      <c r="J5" s="64" t="s">
        <v>280</v>
      </c>
      <c r="K5" s="64" t="s">
        <v>281</v>
      </c>
    </row>
    <row r="6" spans="1:11" ht="12.75">
      <c r="A6" s="228" t="s">
        <v>155</v>
      </c>
      <c r="B6" s="286"/>
      <c r="C6" s="286"/>
      <c r="D6" s="286"/>
      <c r="E6" s="286"/>
      <c r="F6" s="286"/>
      <c r="G6" s="286"/>
      <c r="H6" s="286"/>
      <c r="I6" s="287"/>
      <c r="J6" s="287"/>
      <c r="K6" s="288"/>
    </row>
    <row r="7" spans="1:11" ht="12.75">
      <c r="A7" s="222" t="s">
        <v>40</v>
      </c>
      <c r="B7" s="223"/>
      <c r="C7" s="223"/>
      <c r="D7" s="223"/>
      <c r="E7" s="223"/>
      <c r="F7" s="223"/>
      <c r="G7" s="223"/>
      <c r="H7" s="223"/>
      <c r="I7" s="1">
        <v>1</v>
      </c>
      <c r="J7" s="5">
        <v>45596069</v>
      </c>
      <c r="K7" s="7">
        <f>-RDG!L50</f>
        <v>-21551385</v>
      </c>
    </row>
    <row r="8" spans="1:11" ht="12.75">
      <c r="A8" s="222" t="s">
        <v>41</v>
      </c>
      <c r="B8" s="223"/>
      <c r="C8" s="223"/>
      <c r="D8" s="223"/>
      <c r="E8" s="223"/>
      <c r="F8" s="223"/>
      <c r="G8" s="223"/>
      <c r="H8" s="223"/>
      <c r="I8" s="1">
        <v>2</v>
      </c>
      <c r="J8" s="5">
        <v>26501036</v>
      </c>
      <c r="K8" s="7">
        <f>+RDG!L20</f>
        <v>22823547</v>
      </c>
    </row>
    <row r="9" spans="1:11" ht="12.75">
      <c r="A9" s="222" t="s">
        <v>42</v>
      </c>
      <c r="B9" s="223"/>
      <c r="C9" s="223"/>
      <c r="D9" s="223"/>
      <c r="E9" s="223"/>
      <c r="F9" s="223"/>
      <c r="G9" s="223"/>
      <c r="H9" s="223"/>
      <c r="I9" s="1">
        <v>3</v>
      </c>
      <c r="J9" s="5">
        <v>0</v>
      </c>
      <c r="K9" s="7"/>
    </row>
    <row r="10" spans="1:11" ht="12.75">
      <c r="A10" s="222" t="s">
        <v>43</v>
      </c>
      <c r="B10" s="223"/>
      <c r="C10" s="223"/>
      <c r="D10" s="223"/>
      <c r="E10" s="223"/>
      <c r="F10" s="223"/>
      <c r="G10" s="223"/>
      <c r="H10" s="223"/>
      <c r="I10" s="1">
        <v>4</v>
      </c>
      <c r="J10" s="5">
        <v>20953530</v>
      </c>
      <c r="K10" s="7">
        <v>22581645</v>
      </c>
    </row>
    <row r="11" spans="1:11" ht="12.75">
      <c r="A11" s="222" t="s">
        <v>44</v>
      </c>
      <c r="B11" s="223"/>
      <c r="C11" s="223"/>
      <c r="D11" s="223"/>
      <c r="E11" s="223"/>
      <c r="F11" s="223"/>
      <c r="G11" s="223"/>
      <c r="H11" s="223"/>
      <c r="I11" s="1">
        <v>5</v>
      </c>
      <c r="J11" s="5">
        <v>8089875</v>
      </c>
      <c r="K11" s="7">
        <v>1061604</v>
      </c>
    </row>
    <row r="12" spans="1:11" ht="12.75">
      <c r="A12" s="222" t="s">
        <v>51</v>
      </c>
      <c r="B12" s="223"/>
      <c r="C12" s="223"/>
      <c r="D12" s="223"/>
      <c r="E12" s="223"/>
      <c r="F12" s="223"/>
      <c r="G12" s="223"/>
      <c r="H12" s="223"/>
      <c r="I12" s="1">
        <v>6</v>
      </c>
      <c r="J12" s="5">
        <v>24094000</v>
      </c>
      <c r="K12" s="7">
        <f>249973+577970</f>
        <v>827943</v>
      </c>
    </row>
    <row r="13" spans="1:11" ht="12.75">
      <c r="A13" s="207" t="s">
        <v>156</v>
      </c>
      <c r="B13" s="208"/>
      <c r="C13" s="208"/>
      <c r="D13" s="208"/>
      <c r="E13" s="208"/>
      <c r="F13" s="208"/>
      <c r="G13" s="208"/>
      <c r="H13" s="208"/>
      <c r="I13" s="1">
        <v>7</v>
      </c>
      <c r="J13" s="133">
        <f>SUM(J7:J12)</f>
        <v>125234510</v>
      </c>
      <c r="K13" s="121">
        <f>SUM(K7:K12)</f>
        <v>25743354</v>
      </c>
    </row>
    <row r="14" spans="1:11" ht="12.75">
      <c r="A14" s="222" t="s">
        <v>52</v>
      </c>
      <c r="B14" s="223"/>
      <c r="C14" s="223"/>
      <c r="D14" s="223"/>
      <c r="E14" s="223"/>
      <c r="F14" s="223"/>
      <c r="G14" s="223"/>
      <c r="H14" s="223"/>
      <c r="I14" s="1">
        <v>8</v>
      </c>
      <c r="J14" s="5">
        <v>17293136</v>
      </c>
      <c r="K14" s="7">
        <v>934239</v>
      </c>
    </row>
    <row r="15" spans="1:11" ht="12.75">
      <c r="A15" s="222" t="s">
        <v>53</v>
      </c>
      <c r="B15" s="223"/>
      <c r="C15" s="223"/>
      <c r="D15" s="223"/>
      <c r="E15" s="223"/>
      <c r="F15" s="223"/>
      <c r="G15" s="223"/>
      <c r="H15" s="223"/>
      <c r="I15" s="1">
        <v>9</v>
      </c>
      <c r="J15" s="5">
        <v>0</v>
      </c>
      <c r="K15" s="7"/>
    </row>
    <row r="16" spans="1:11" ht="12.75">
      <c r="A16" s="222" t="s">
        <v>54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>
        <v>0</v>
      </c>
      <c r="K16" s="7"/>
    </row>
    <row r="17" spans="1:11" ht="12.75">
      <c r="A17" s="222" t="s">
        <v>55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>
        <v>11551087</v>
      </c>
      <c r="K17" s="7">
        <v>16511145</v>
      </c>
    </row>
    <row r="18" spans="1:11" ht="12.75">
      <c r="A18" s="207" t="s">
        <v>157</v>
      </c>
      <c r="B18" s="208"/>
      <c r="C18" s="208"/>
      <c r="D18" s="208"/>
      <c r="E18" s="208"/>
      <c r="F18" s="208"/>
      <c r="G18" s="208"/>
      <c r="H18" s="208"/>
      <c r="I18" s="1">
        <v>12</v>
      </c>
      <c r="J18" s="133">
        <f>SUM(J14:J17)</f>
        <v>28844223</v>
      </c>
      <c r="K18" s="121">
        <f>SUM(K14:K17)</f>
        <v>17445384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133">
        <f>IF(J13&gt;J18,J13-J18,0)</f>
        <v>96390287</v>
      </c>
      <c r="K19" s="53">
        <f>IF(K13&gt;K18,K13-K18,0)</f>
        <v>8297970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133">
        <f>IF(J18&gt;J13,J18-J13,0)</f>
        <v>0</v>
      </c>
      <c r="K20" s="121">
        <f>IF(K18&gt;K13,K18-K13,0)</f>
        <v>0</v>
      </c>
    </row>
    <row r="21" spans="1:11" ht="12.75">
      <c r="A21" s="228" t="s">
        <v>158</v>
      </c>
      <c r="B21" s="286"/>
      <c r="C21" s="286"/>
      <c r="D21" s="286"/>
      <c r="E21" s="286"/>
      <c r="F21" s="286"/>
      <c r="G21" s="286"/>
      <c r="H21" s="286"/>
      <c r="I21" s="287"/>
      <c r="J21" s="287"/>
      <c r="K21" s="288"/>
    </row>
    <row r="22" spans="1:11" ht="12.75">
      <c r="A22" s="222" t="s">
        <v>177</v>
      </c>
      <c r="B22" s="223"/>
      <c r="C22" s="223"/>
      <c r="D22" s="223"/>
      <c r="E22" s="223"/>
      <c r="F22" s="223"/>
      <c r="G22" s="223"/>
      <c r="H22" s="223"/>
      <c r="I22" s="1">
        <v>15</v>
      </c>
      <c r="J22" s="5">
        <v>1650</v>
      </c>
      <c r="K22" s="7">
        <v>50544</v>
      </c>
    </row>
    <row r="23" spans="1:11" ht="12.75">
      <c r="A23" s="222" t="s">
        <v>178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7"/>
    </row>
    <row r="24" spans="1:11" ht="12.75">
      <c r="A24" s="222" t="s">
        <v>179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>
        <v>226437</v>
      </c>
      <c r="K24" s="7">
        <v>13247</v>
      </c>
    </row>
    <row r="25" spans="1:11" ht="12.75">
      <c r="A25" s="222" t="s">
        <v>180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>
        <v>9845</v>
      </c>
      <c r="K25" s="7">
        <v>3692</v>
      </c>
    </row>
    <row r="26" spans="1:11" ht="12.75">
      <c r="A26" s="222" t="s">
        <v>181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>
        <v>140445</v>
      </c>
      <c r="K26" s="7">
        <v>39789</v>
      </c>
    </row>
    <row r="27" spans="1:11" ht="12.75">
      <c r="A27" s="207" t="s">
        <v>167</v>
      </c>
      <c r="B27" s="208"/>
      <c r="C27" s="208"/>
      <c r="D27" s="208"/>
      <c r="E27" s="208"/>
      <c r="F27" s="208"/>
      <c r="G27" s="208"/>
      <c r="H27" s="208"/>
      <c r="I27" s="1">
        <v>20</v>
      </c>
      <c r="J27" s="133">
        <f>SUM(J22:J26)</f>
        <v>378377</v>
      </c>
      <c r="K27" s="121">
        <f>SUM(K22:K26)</f>
        <v>107272</v>
      </c>
    </row>
    <row r="28" spans="1:11" ht="12.75">
      <c r="A28" s="222" t="s">
        <v>115</v>
      </c>
      <c r="B28" s="223"/>
      <c r="C28" s="223"/>
      <c r="D28" s="223"/>
      <c r="E28" s="223"/>
      <c r="F28" s="223"/>
      <c r="G28" s="223"/>
      <c r="H28" s="223"/>
      <c r="I28" s="1">
        <v>21</v>
      </c>
      <c r="J28" s="5">
        <v>36826422</v>
      </c>
      <c r="K28" s="7">
        <v>21620793</v>
      </c>
    </row>
    <row r="29" spans="1:11" ht="12.75">
      <c r="A29" s="222" t="s">
        <v>116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7"/>
    </row>
    <row r="30" spans="1:11" ht="12.75">
      <c r="A30" s="222" t="s">
        <v>16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>
        <v>15000</v>
      </c>
      <c r="K30" s="7">
        <f>170000+23402</f>
        <v>193402</v>
      </c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133">
        <f>SUM(J28:J30)</f>
        <v>36841422</v>
      </c>
      <c r="K31" s="121">
        <f>SUM(K28:K30)</f>
        <v>21814195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133">
        <f>IF(J27&gt;J31,J27-J31,0)</f>
        <v>0</v>
      </c>
      <c r="K32" s="121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133">
        <f>IF(J31&gt;J27,J31-J27,0)</f>
        <v>36463045</v>
      </c>
      <c r="K33" s="121">
        <f>IF(K31&gt;K27,K31-K27,0)</f>
        <v>21706923</v>
      </c>
    </row>
    <row r="34" spans="1:11" ht="12.75">
      <c r="A34" s="228" t="s">
        <v>159</v>
      </c>
      <c r="B34" s="286"/>
      <c r="C34" s="286"/>
      <c r="D34" s="286"/>
      <c r="E34" s="286"/>
      <c r="F34" s="286"/>
      <c r="G34" s="286"/>
      <c r="H34" s="286"/>
      <c r="I34" s="287"/>
      <c r="J34" s="287"/>
      <c r="K34" s="288"/>
    </row>
    <row r="35" spans="1:11" ht="12.75">
      <c r="A35" s="222" t="s">
        <v>173</v>
      </c>
      <c r="B35" s="223"/>
      <c r="C35" s="223"/>
      <c r="D35" s="223"/>
      <c r="E35" s="223"/>
      <c r="F35" s="223"/>
      <c r="G35" s="223"/>
      <c r="H35" s="223"/>
      <c r="I35" s="1">
        <v>27</v>
      </c>
      <c r="J35" s="5"/>
      <c r="K35" s="7"/>
    </row>
    <row r="36" spans="1:11" ht="12.75">
      <c r="A36" s="222" t="s">
        <v>29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>
        <v>11826440</v>
      </c>
      <c r="K36" s="7">
        <v>4045760</v>
      </c>
    </row>
    <row r="37" spans="1:11" ht="12.75">
      <c r="A37" s="222" t="s">
        <v>30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/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133">
        <f>SUM(J35:J37)</f>
        <v>11826440</v>
      </c>
      <c r="K38" s="121">
        <f>SUM(K35:K37)</f>
        <v>4045760</v>
      </c>
    </row>
    <row r="39" spans="1:11" ht="12.75">
      <c r="A39" s="222" t="s">
        <v>31</v>
      </c>
      <c r="B39" s="223"/>
      <c r="C39" s="223"/>
      <c r="D39" s="223"/>
      <c r="E39" s="223"/>
      <c r="F39" s="223"/>
      <c r="G39" s="223"/>
      <c r="H39" s="223"/>
      <c r="I39" s="1">
        <v>31</v>
      </c>
      <c r="J39" s="5">
        <v>48213451</v>
      </c>
      <c r="K39" s="7">
        <v>12139428</v>
      </c>
    </row>
    <row r="40" spans="1:11" ht="12.75">
      <c r="A40" s="222" t="s">
        <v>32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>
        <v>1438925</v>
      </c>
      <c r="K40" s="7"/>
    </row>
    <row r="41" spans="1:11" ht="12.75">
      <c r="A41" s="222" t="s">
        <v>33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/>
      <c r="K41" s="7"/>
    </row>
    <row r="42" spans="1:11" ht="12.75">
      <c r="A42" s="222" t="s">
        <v>34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7"/>
    </row>
    <row r="43" spans="1:11" ht="12.75">
      <c r="A43" s="222" t="s">
        <v>35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/>
      <c r="K43" s="7"/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133">
        <f>SUM(J39:J43)</f>
        <v>49652376</v>
      </c>
      <c r="K44" s="121">
        <f>SUM(K39:K43)</f>
        <v>12139428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133">
        <f>IF(J38&gt;J44,J38-J44,0)</f>
        <v>0</v>
      </c>
      <c r="K45" s="121">
        <f>IF(K38&gt;K44,K38-K44,0)</f>
        <v>0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133">
        <f>IF(J44&gt;J38,J44-J38,0)</f>
        <v>37825936</v>
      </c>
      <c r="K46" s="121">
        <f>IF(K44&gt;K38,K44-K38,0)</f>
        <v>8093668</v>
      </c>
    </row>
    <row r="47" spans="1:11" ht="12.75">
      <c r="A47" s="222" t="s">
        <v>70</v>
      </c>
      <c r="B47" s="223"/>
      <c r="C47" s="223"/>
      <c r="D47" s="223"/>
      <c r="E47" s="223"/>
      <c r="F47" s="223"/>
      <c r="G47" s="223"/>
      <c r="H47" s="223"/>
      <c r="I47" s="1">
        <v>39</v>
      </c>
      <c r="J47" s="59">
        <f>IF(J19-J20+J32-J33+J45-J46&gt;0,J19-J20+J32-J33+J45-J46,0)</f>
        <v>22101306</v>
      </c>
      <c r="K47" s="53">
        <f>IF(K19-K20+K32-K33+K45-K46&gt;0,K19-K20+K32-K33+K45-K46,0)</f>
        <v>0</v>
      </c>
    </row>
    <row r="48" spans="1:11" ht="12.75">
      <c r="A48" s="222" t="s">
        <v>71</v>
      </c>
      <c r="B48" s="223"/>
      <c r="C48" s="223"/>
      <c r="D48" s="223"/>
      <c r="E48" s="223"/>
      <c r="F48" s="223"/>
      <c r="G48" s="223"/>
      <c r="H48" s="223"/>
      <c r="I48" s="1">
        <v>40</v>
      </c>
      <c r="J48" s="59">
        <f>IF(J20-J19+J33-J32+J46-J45&gt;0,J20-J19+J33-J32+J46-J45,0)</f>
        <v>0</v>
      </c>
      <c r="K48" s="53">
        <f>IF(K20-K19+K33-K32+K46-K45&gt;0,K20-K19+K33-K32+K46-K45,0)</f>
        <v>21502621</v>
      </c>
    </row>
    <row r="49" spans="1:11" ht="12.75">
      <c r="A49" s="222" t="s">
        <v>160</v>
      </c>
      <c r="B49" s="223"/>
      <c r="C49" s="223"/>
      <c r="D49" s="223"/>
      <c r="E49" s="223"/>
      <c r="F49" s="223"/>
      <c r="G49" s="223"/>
      <c r="H49" s="223"/>
      <c r="I49" s="1">
        <v>41</v>
      </c>
      <c r="J49" s="5">
        <v>9772886</v>
      </c>
      <c r="K49" s="7">
        <v>31874192</v>
      </c>
    </row>
    <row r="50" spans="1:11" ht="12.75">
      <c r="A50" s="222" t="s">
        <v>174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>
        <f>+J47</f>
        <v>22101306</v>
      </c>
      <c r="K50" s="7">
        <f>+K47</f>
        <v>0</v>
      </c>
    </row>
    <row r="51" spans="1:11" ht="12.75">
      <c r="A51" s="222" t="s">
        <v>175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>
        <f>+J48</f>
        <v>0</v>
      </c>
      <c r="K51" s="7">
        <f>+K48</f>
        <v>21502621</v>
      </c>
    </row>
    <row r="52" spans="1:11" ht="12.75">
      <c r="A52" s="245" t="s">
        <v>176</v>
      </c>
      <c r="B52" s="246"/>
      <c r="C52" s="246"/>
      <c r="D52" s="246"/>
      <c r="E52" s="246"/>
      <c r="F52" s="246"/>
      <c r="G52" s="246"/>
      <c r="H52" s="246"/>
      <c r="I52" s="4">
        <v>44</v>
      </c>
      <c r="J52" s="134">
        <f>J49+J50-J51</f>
        <v>31874192</v>
      </c>
      <c r="K52" s="125">
        <f>K49+K50-K51</f>
        <v>10371571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82" t="s">
        <v>195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90" t="s">
        <v>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2.75">
      <c r="A3" s="289" t="s">
        <v>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</row>
    <row r="4" spans="1:11" ht="33.75">
      <c r="A4" s="284" t="s">
        <v>59</v>
      </c>
      <c r="B4" s="284"/>
      <c r="C4" s="284"/>
      <c r="D4" s="284"/>
      <c r="E4" s="284"/>
      <c r="F4" s="284"/>
      <c r="G4" s="284"/>
      <c r="H4" s="284"/>
      <c r="I4" s="61" t="s">
        <v>276</v>
      </c>
      <c r="J4" s="62" t="s">
        <v>316</v>
      </c>
      <c r="K4" s="62" t="s">
        <v>317</v>
      </c>
    </row>
    <row r="5" spans="1:11" ht="12.75">
      <c r="A5" s="291">
        <v>1</v>
      </c>
      <c r="B5" s="291"/>
      <c r="C5" s="291"/>
      <c r="D5" s="291"/>
      <c r="E5" s="291"/>
      <c r="F5" s="291"/>
      <c r="G5" s="291"/>
      <c r="H5" s="291"/>
      <c r="I5" s="67">
        <v>2</v>
      </c>
      <c r="J5" s="68" t="s">
        <v>280</v>
      </c>
      <c r="K5" s="68" t="s">
        <v>281</v>
      </c>
    </row>
    <row r="6" spans="1:11" ht="12.75">
      <c r="A6" s="239" t="s">
        <v>155</v>
      </c>
      <c r="B6" s="240"/>
      <c r="C6" s="240"/>
      <c r="D6" s="240"/>
      <c r="E6" s="240"/>
      <c r="F6" s="240"/>
      <c r="G6" s="240"/>
      <c r="H6" s="240"/>
      <c r="I6" s="292"/>
      <c r="J6" s="292"/>
      <c r="K6" s="293"/>
    </row>
    <row r="7" spans="1:11" ht="12.75">
      <c r="A7" s="222" t="s">
        <v>197</v>
      </c>
      <c r="B7" s="223"/>
      <c r="C7" s="223"/>
      <c r="D7" s="223"/>
      <c r="E7" s="223"/>
      <c r="F7" s="223"/>
      <c r="G7" s="223"/>
      <c r="H7" s="223"/>
      <c r="I7" s="1">
        <v>1</v>
      </c>
      <c r="J7" s="5"/>
      <c r="K7" s="7"/>
    </row>
    <row r="8" spans="1:11" ht="12.75">
      <c r="A8" s="222" t="s">
        <v>119</v>
      </c>
      <c r="B8" s="223"/>
      <c r="C8" s="223"/>
      <c r="D8" s="223"/>
      <c r="E8" s="223"/>
      <c r="F8" s="223"/>
      <c r="G8" s="223"/>
      <c r="H8" s="223"/>
      <c r="I8" s="1">
        <v>2</v>
      </c>
      <c r="J8" s="5"/>
      <c r="K8" s="7"/>
    </row>
    <row r="9" spans="1:11" ht="12.75">
      <c r="A9" s="222" t="s">
        <v>120</v>
      </c>
      <c r="B9" s="223"/>
      <c r="C9" s="223"/>
      <c r="D9" s="223"/>
      <c r="E9" s="223"/>
      <c r="F9" s="223"/>
      <c r="G9" s="223"/>
      <c r="H9" s="223"/>
      <c r="I9" s="1">
        <v>3</v>
      </c>
      <c r="J9" s="5"/>
      <c r="K9" s="7"/>
    </row>
    <row r="10" spans="1:11" ht="12.75">
      <c r="A10" s="222" t="s">
        <v>121</v>
      </c>
      <c r="B10" s="223"/>
      <c r="C10" s="223"/>
      <c r="D10" s="223"/>
      <c r="E10" s="223"/>
      <c r="F10" s="223"/>
      <c r="G10" s="223"/>
      <c r="H10" s="223"/>
      <c r="I10" s="1">
        <v>4</v>
      </c>
      <c r="J10" s="5"/>
      <c r="K10" s="7"/>
    </row>
    <row r="11" spans="1:11" ht="12.75">
      <c r="A11" s="222" t="s">
        <v>122</v>
      </c>
      <c r="B11" s="223"/>
      <c r="C11" s="223"/>
      <c r="D11" s="223"/>
      <c r="E11" s="223"/>
      <c r="F11" s="223"/>
      <c r="G11" s="223"/>
      <c r="H11" s="223"/>
      <c r="I11" s="1">
        <v>5</v>
      </c>
      <c r="J11" s="5"/>
      <c r="K11" s="7"/>
    </row>
    <row r="12" spans="1:11" ht="12.75">
      <c r="A12" s="207" t="s">
        <v>196</v>
      </c>
      <c r="B12" s="208"/>
      <c r="C12" s="208"/>
      <c r="D12" s="208"/>
      <c r="E12" s="208"/>
      <c r="F12" s="208"/>
      <c r="G12" s="208"/>
      <c r="H12" s="208"/>
      <c r="I12" s="1">
        <v>6</v>
      </c>
      <c r="J12" s="59">
        <f>SUM(J7:J11)</f>
        <v>0</v>
      </c>
      <c r="K12" s="53">
        <f>SUM(K7:K11)</f>
        <v>0</v>
      </c>
    </row>
    <row r="13" spans="1:11" ht="12.75">
      <c r="A13" s="222" t="s">
        <v>123</v>
      </c>
      <c r="B13" s="223"/>
      <c r="C13" s="223"/>
      <c r="D13" s="223"/>
      <c r="E13" s="223"/>
      <c r="F13" s="223"/>
      <c r="G13" s="223"/>
      <c r="H13" s="223"/>
      <c r="I13" s="1">
        <v>7</v>
      </c>
      <c r="J13" s="5"/>
      <c r="K13" s="7"/>
    </row>
    <row r="14" spans="1:11" ht="12.75">
      <c r="A14" s="222" t="s">
        <v>124</v>
      </c>
      <c r="B14" s="223"/>
      <c r="C14" s="223"/>
      <c r="D14" s="223"/>
      <c r="E14" s="223"/>
      <c r="F14" s="223"/>
      <c r="G14" s="223"/>
      <c r="H14" s="223"/>
      <c r="I14" s="1">
        <v>8</v>
      </c>
      <c r="J14" s="5"/>
      <c r="K14" s="7"/>
    </row>
    <row r="15" spans="1:11" ht="12.75">
      <c r="A15" s="222" t="s">
        <v>125</v>
      </c>
      <c r="B15" s="223"/>
      <c r="C15" s="223"/>
      <c r="D15" s="223"/>
      <c r="E15" s="223"/>
      <c r="F15" s="223"/>
      <c r="G15" s="223"/>
      <c r="H15" s="223"/>
      <c r="I15" s="1">
        <v>9</v>
      </c>
      <c r="J15" s="5"/>
      <c r="K15" s="7"/>
    </row>
    <row r="16" spans="1:11" ht="12.75">
      <c r="A16" s="222" t="s">
        <v>126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/>
      <c r="K16" s="7"/>
    </row>
    <row r="17" spans="1:11" ht="12.75">
      <c r="A17" s="222" t="s">
        <v>127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/>
      <c r="K17" s="7"/>
    </row>
    <row r="18" spans="1:11" ht="12.75">
      <c r="A18" s="222" t="s">
        <v>128</v>
      </c>
      <c r="B18" s="223"/>
      <c r="C18" s="223"/>
      <c r="D18" s="223"/>
      <c r="E18" s="223"/>
      <c r="F18" s="223"/>
      <c r="G18" s="223"/>
      <c r="H18" s="223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59">
        <f>SUM(J13:J18)</f>
        <v>0</v>
      </c>
      <c r="K19" s="53">
        <f>SUM(K13:K18)</f>
        <v>0</v>
      </c>
    </row>
    <row r="20" spans="1:11" ht="12.75">
      <c r="A20" s="207" t="s">
        <v>108</v>
      </c>
      <c r="B20" s="294"/>
      <c r="C20" s="294"/>
      <c r="D20" s="294"/>
      <c r="E20" s="294"/>
      <c r="F20" s="294"/>
      <c r="G20" s="294"/>
      <c r="H20" s="295"/>
      <c r="I20" s="1">
        <v>14</v>
      </c>
      <c r="J20" s="59">
        <f>IF(J12&gt;J19,J12-J19,0)</f>
        <v>0</v>
      </c>
      <c r="K20" s="53">
        <f>IF(K12&gt;K19,K12-K19,0)</f>
        <v>0</v>
      </c>
    </row>
    <row r="21" spans="1:11" ht="12.75">
      <c r="A21" s="225" t="s">
        <v>109</v>
      </c>
      <c r="B21" s="296"/>
      <c r="C21" s="296"/>
      <c r="D21" s="296"/>
      <c r="E21" s="296"/>
      <c r="F21" s="296"/>
      <c r="G21" s="296"/>
      <c r="H21" s="297"/>
      <c r="I21" s="1">
        <v>15</v>
      </c>
      <c r="J21" s="59">
        <f>IF(J19&gt;J12,J19-J12,0)</f>
        <v>0</v>
      </c>
      <c r="K21" s="53">
        <f>IF(K19&gt;K12,K19-K12,0)</f>
        <v>0</v>
      </c>
    </row>
    <row r="22" spans="1:11" ht="12.75">
      <c r="A22" s="239" t="s">
        <v>158</v>
      </c>
      <c r="B22" s="240"/>
      <c r="C22" s="240"/>
      <c r="D22" s="240"/>
      <c r="E22" s="240"/>
      <c r="F22" s="240"/>
      <c r="G22" s="240"/>
      <c r="H22" s="240"/>
      <c r="I22" s="292"/>
      <c r="J22" s="292"/>
      <c r="K22" s="293"/>
    </row>
    <row r="23" spans="1:11" ht="12.75">
      <c r="A23" s="222" t="s">
        <v>164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7"/>
    </row>
    <row r="24" spans="1:11" ht="12.75">
      <c r="A24" s="222" t="s">
        <v>165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/>
      <c r="K24" s="7"/>
    </row>
    <row r="25" spans="1:11" ht="12.75">
      <c r="A25" s="222" t="s">
        <v>318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7"/>
    </row>
    <row r="26" spans="1:11" ht="12.75">
      <c r="A26" s="222" t="s">
        <v>319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/>
      <c r="K26" s="7"/>
    </row>
    <row r="27" spans="1:11" ht="12.75">
      <c r="A27" s="222" t="s">
        <v>166</v>
      </c>
      <c r="B27" s="223"/>
      <c r="C27" s="223"/>
      <c r="D27" s="223"/>
      <c r="E27" s="223"/>
      <c r="F27" s="223"/>
      <c r="G27" s="223"/>
      <c r="H27" s="223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59">
        <f>SUM(J23:J27)</f>
        <v>0</v>
      </c>
      <c r="K28" s="53">
        <f>SUM(K23:K27)</f>
        <v>0</v>
      </c>
    </row>
    <row r="29" spans="1:11" ht="12.75">
      <c r="A29" s="222" t="s">
        <v>2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7"/>
    </row>
    <row r="30" spans="1:11" ht="12.75">
      <c r="A30" s="222" t="s">
        <v>3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/>
      <c r="K30" s="7"/>
    </row>
    <row r="31" spans="1:11" ht="12.75">
      <c r="A31" s="222" t="s">
        <v>4</v>
      </c>
      <c r="B31" s="223"/>
      <c r="C31" s="223"/>
      <c r="D31" s="223"/>
      <c r="E31" s="223"/>
      <c r="F31" s="223"/>
      <c r="G31" s="223"/>
      <c r="H31" s="223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59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59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59">
        <f>IF(J32&gt;J28,J32-J28,0)</f>
        <v>0</v>
      </c>
      <c r="K34" s="53">
        <f>IF(K32&gt;K28,K32-K28,0)</f>
        <v>0</v>
      </c>
    </row>
    <row r="35" spans="1:11" ht="12.75">
      <c r="A35" s="239" t="s">
        <v>159</v>
      </c>
      <c r="B35" s="240"/>
      <c r="C35" s="240"/>
      <c r="D35" s="240"/>
      <c r="E35" s="240"/>
      <c r="F35" s="240"/>
      <c r="G35" s="240"/>
      <c r="H35" s="240"/>
      <c r="I35" s="292">
        <v>0</v>
      </c>
      <c r="J35" s="292"/>
      <c r="K35" s="293"/>
    </row>
    <row r="36" spans="1:11" ht="12.75">
      <c r="A36" s="222" t="s">
        <v>173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/>
      <c r="K36" s="7"/>
    </row>
    <row r="37" spans="1:11" ht="12.75">
      <c r="A37" s="222" t="s">
        <v>29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/>
      <c r="K37" s="7"/>
    </row>
    <row r="38" spans="1:11" ht="12.75">
      <c r="A38" s="222" t="s">
        <v>30</v>
      </c>
      <c r="B38" s="223"/>
      <c r="C38" s="223"/>
      <c r="D38" s="223"/>
      <c r="E38" s="223"/>
      <c r="F38" s="223"/>
      <c r="G38" s="223"/>
      <c r="H38" s="223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59">
        <f>SUM(J36:J38)</f>
        <v>0</v>
      </c>
      <c r="K39" s="53">
        <f>SUM(K36:K38)</f>
        <v>0</v>
      </c>
    </row>
    <row r="40" spans="1:11" ht="12.75">
      <c r="A40" s="222" t="s">
        <v>31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7"/>
    </row>
    <row r="41" spans="1:11" ht="12.75">
      <c r="A41" s="222" t="s">
        <v>32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/>
      <c r="K41" s="7"/>
    </row>
    <row r="42" spans="1:11" ht="12.75">
      <c r="A42" s="222" t="s">
        <v>33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7"/>
    </row>
    <row r="43" spans="1:11" ht="12.75">
      <c r="A43" s="222" t="s">
        <v>34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/>
      <c r="K43" s="7"/>
    </row>
    <row r="44" spans="1:11" ht="12.75">
      <c r="A44" s="222" t="s">
        <v>35</v>
      </c>
      <c r="B44" s="223"/>
      <c r="C44" s="223"/>
      <c r="D44" s="223"/>
      <c r="E44" s="223"/>
      <c r="F44" s="223"/>
      <c r="G44" s="223"/>
      <c r="H44" s="223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59">
        <f>SUM(J40:J44)</f>
        <v>0</v>
      </c>
      <c r="K45" s="53">
        <f>SUM(K40:K44)</f>
        <v>0</v>
      </c>
    </row>
    <row r="46" spans="1:11" ht="12.75">
      <c r="A46" s="207" t="s">
        <v>161</v>
      </c>
      <c r="B46" s="208"/>
      <c r="C46" s="208"/>
      <c r="D46" s="208"/>
      <c r="E46" s="208"/>
      <c r="F46" s="208"/>
      <c r="G46" s="208"/>
      <c r="H46" s="208"/>
      <c r="I46" s="1">
        <v>38</v>
      </c>
      <c r="J46" s="59">
        <f>IF(J39&gt;J45,J39-J45,0)</f>
        <v>0</v>
      </c>
      <c r="K46" s="53">
        <f>IF(K39&gt;K45,K39-K45,0)</f>
        <v>0</v>
      </c>
    </row>
    <row r="47" spans="1:11" ht="12.75">
      <c r="A47" s="207" t="s">
        <v>162</v>
      </c>
      <c r="B47" s="208"/>
      <c r="C47" s="208"/>
      <c r="D47" s="208"/>
      <c r="E47" s="208"/>
      <c r="F47" s="208"/>
      <c r="G47" s="208"/>
      <c r="H47" s="208"/>
      <c r="I47" s="1">
        <v>39</v>
      </c>
      <c r="J47" s="59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59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59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160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174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175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25" t="s">
        <v>176</v>
      </c>
      <c r="B53" s="226"/>
      <c r="C53" s="226"/>
      <c r="D53" s="226"/>
      <c r="E53" s="226"/>
      <c r="F53" s="226"/>
      <c r="G53" s="226"/>
      <c r="H53" s="226"/>
      <c r="I53" s="4">
        <v>45</v>
      </c>
      <c r="J53" s="60">
        <f>J50+J51-J52</f>
        <v>0</v>
      </c>
      <c r="K53" s="57">
        <f>K50+K51-K52</f>
        <v>0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C1">
      <selection activeCell="A9" sqref="A9:H9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7" width="9.140625" style="71" customWidth="1"/>
    <col min="8" max="8" width="21.421875" style="71" customWidth="1"/>
    <col min="9" max="9" width="9.140625" style="71" customWidth="1"/>
    <col min="10" max="11" width="9.57421875" style="71" bestFit="1" customWidth="1"/>
    <col min="12" max="16384" width="9.140625" style="71" customWidth="1"/>
  </cols>
  <sheetData>
    <row r="1" spans="1:12" ht="12.75">
      <c r="A1" s="304" t="s">
        <v>278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70"/>
    </row>
    <row r="2" spans="1:12" ht="15.75">
      <c r="A2" s="42"/>
      <c r="B2" s="69"/>
      <c r="C2" s="314" t="s">
        <v>279</v>
      </c>
      <c r="D2" s="314"/>
      <c r="E2" s="124" t="s">
        <v>341</v>
      </c>
      <c r="F2" s="43" t="s">
        <v>247</v>
      </c>
      <c r="G2" s="315" t="s">
        <v>345</v>
      </c>
      <c r="H2" s="316"/>
      <c r="I2" s="69"/>
      <c r="J2" s="69"/>
      <c r="K2" s="69"/>
      <c r="L2" s="72"/>
    </row>
    <row r="3" spans="1:11" ht="23.25">
      <c r="A3" s="317" t="s">
        <v>59</v>
      </c>
      <c r="B3" s="317"/>
      <c r="C3" s="317"/>
      <c r="D3" s="317"/>
      <c r="E3" s="317"/>
      <c r="F3" s="317"/>
      <c r="G3" s="317"/>
      <c r="H3" s="317"/>
      <c r="I3" s="74" t="s">
        <v>302</v>
      </c>
      <c r="J3" s="75" t="s">
        <v>150</v>
      </c>
      <c r="K3" s="75" t="s">
        <v>151</v>
      </c>
    </row>
    <row r="4" spans="1:11" ht="12.75">
      <c r="A4" s="318">
        <v>1</v>
      </c>
      <c r="B4" s="318"/>
      <c r="C4" s="318"/>
      <c r="D4" s="318"/>
      <c r="E4" s="318"/>
      <c r="F4" s="318"/>
      <c r="G4" s="318"/>
      <c r="H4" s="318"/>
      <c r="I4" s="77">
        <v>2</v>
      </c>
      <c r="J4" s="76" t="s">
        <v>280</v>
      </c>
      <c r="K4" s="76" t="s">
        <v>281</v>
      </c>
    </row>
    <row r="5" spans="1:11" ht="12.75">
      <c r="A5" s="306" t="s">
        <v>282</v>
      </c>
      <c r="B5" s="307"/>
      <c r="C5" s="307"/>
      <c r="D5" s="307"/>
      <c r="E5" s="307"/>
      <c r="F5" s="307"/>
      <c r="G5" s="307"/>
      <c r="H5" s="307"/>
      <c r="I5" s="44">
        <v>1</v>
      </c>
      <c r="J5" s="6">
        <v>168132470</v>
      </c>
      <c r="K5" s="6">
        <v>168132470</v>
      </c>
    </row>
    <row r="6" spans="1:11" ht="12.75">
      <c r="A6" s="306" t="s">
        <v>283</v>
      </c>
      <c r="B6" s="307"/>
      <c r="C6" s="307"/>
      <c r="D6" s="307"/>
      <c r="E6" s="307"/>
      <c r="F6" s="307"/>
      <c r="G6" s="307"/>
      <c r="H6" s="307"/>
      <c r="I6" s="44">
        <v>2</v>
      </c>
      <c r="J6" s="46"/>
      <c r="K6" s="46"/>
    </row>
    <row r="7" spans="1:11" ht="12.75">
      <c r="A7" s="306" t="s">
        <v>284</v>
      </c>
      <c r="B7" s="307"/>
      <c r="C7" s="307"/>
      <c r="D7" s="307"/>
      <c r="E7" s="307"/>
      <c r="F7" s="307"/>
      <c r="G7" s="307"/>
      <c r="H7" s="307"/>
      <c r="I7" s="44">
        <v>3</v>
      </c>
      <c r="J7" s="46">
        <v>39490848</v>
      </c>
      <c r="K7" s="46">
        <f>+Bilanca!K72</f>
        <v>76517706</v>
      </c>
    </row>
    <row r="8" spans="1:11" ht="12.75">
      <c r="A8" s="306" t="s">
        <v>285</v>
      </c>
      <c r="B8" s="307"/>
      <c r="C8" s="307"/>
      <c r="D8" s="307"/>
      <c r="E8" s="307"/>
      <c r="F8" s="307"/>
      <c r="G8" s="307"/>
      <c r="H8" s="307"/>
      <c r="I8" s="44">
        <v>4</v>
      </c>
      <c r="J8" s="46">
        <v>0</v>
      </c>
      <c r="K8" s="46">
        <f>+Bilanca!K80</f>
        <v>0</v>
      </c>
    </row>
    <row r="9" spans="1:11" ht="12.75">
      <c r="A9" s="306" t="s">
        <v>286</v>
      </c>
      <c r="B9" s="307"/>
      <c r="C9" s="307"/>
      <c r="D9" s="307"/>
      <c r="E9" s="307"/>
      <c r="F9" s="307"/>
      <c r="G9" s="307"/>
      <c r="H9" s="307"/>
      <c r="I9" s="44">
        <v>5</v>
      </c>
      <c r="J9" s="46">
        <f>+RDG!J49</f>
        <v>37026858</v>
      </c>
      <c r="K9" s="46">
        <f>+RDG!L48</f>
        <v>-21551385</v>
      </c>
    </row>
    <row r="10" spans="1:11" ht="12.75">
      <c r="A10" s="306" t="s">
        <v>287</v>
      </c>
      <c r="B10" s="307"/>
      <c r="C10" s="307"/>
      <c r="D10" s="307"/>
      <c r="E10" s="307"/>
      <c r="F10" s="307"/>
      <c r="G10" s="307"/>
      <c r="H10" s="307"/>
      <c r="I10" s="44">
        <v>6</v>
      </c>
      <c r="J10" s="46"/>
      <c r="K10" s="46"/>
    </row>
    <row r="11" spans="1:11" ht="12.75">
      <c r="A11" s="306" t="s">
        <v>288</v>
      </c>
      <c r="B11" s="307"/>
      <c r="C11" s="307"/>
      <c r="D11" s="307"/>
      <c r="E11" s="307"/>
      <c r="F11" s="307"/>
      <c r="G11" s="307"/>
      <c r="H11" s="307"/>
      <c r="I11" s="44">
        <v>7</v>
      </c>
      <c r="J11" s="46"/>
      <c r="K11" s="46"/>
    </row>
    <row r="12" spans="1:11" ht="12.75">
      <c r="A12" s="306" t="s">
        <v>289</v>
      </c>
      <c r="B12" s="307"/>
      <c r="C12" s="307"/>
      <c r="D12" s="307"/>
      <c r="E12" s="307"/>
      <c r="F12" s="307"/>
      <c r="G12" s="307"/>
      <c r="H12" s="307"/>
      <c r="I12" s="44">
        <v>8</v>
      </c>
      <c r="J12" s="46">
        <v>-388364</v>
      </c>
      <c r="K12" s="46">
        <f>Bilanca!K78</f>
        <v>-454231</v>
      </c>
    </row>
    <row r="13" spans="1:11" ht="12.75">
      <c r="A13" s="306" t="s">
        <v>290</v>
      </c>
      <c r="B13" s="307"/>
      <c r="C13" s="307"/>
      <c r="D13" s="307"/>
      <c r="E13" s="307"/>
      <c r="F13" s="307"/>
      <c r="G13" s="307"/>
      <c r="H13" s="307"/>
      <c r="I13" s="44">
        <v>9</v>
      </c>
      <c r="J13" s="46"/>
      <c r="K13" s="46"/>
    </row>
    <row r="14" spans="1:11" ht="12.75">
      <c r="A14" s="308" t="s">
        <v>291</v>
      </c>
      <c r="B14" s="309"/>
      <c r="C14" s="309"/>
      <c r="D14" s="309"/>
      <c r="E14" s="309"/>
      <c r="F14" s="309"/>
      <c r="G14" s="309"/>
      <c r="H14" s="309"/>
      <c r="I14" s="44">
        <v>10</v>
      </c>
      <c r="J14" s="121">
        <f>SUM(J5:J13)</f>
        <v>244261812</v>
      </c>
      <c r="K14" s="121">
        <f>SUM(K5:K13)</f>
        <v>222644560</v>
      </c>
    </row>
    <row r="15" spans="1:11" ht="12.75">
      <c r="A15" s="306" t="s">
        <v>292</v>
      </c>
      <c r="B15" s="307"/>
      <c r="C15" s="307"/>
      <c r="D15" s="307"/>
      <c r="E15" s="307"/>
      <c r="F15" s="307"/>
      <c r="G15" s="307"/>
      <c r="H15" s="307"/>
      <c r="I15" s="44">
        <v>11</v>
      </c>
      <c r="J15" s="46"/>
      <c r="K15" s="46"/>
    </row>
    <row r="16" spans="1:11" ht="12.75">
      <c r="A16" s="306" t="s">
        <v>293</v>
      </c>
      <c r="B16" s="307"/>
      <c r="C16" s="307"/>
      <c r="D16" s="307"/>
      <c r="E16" s="307"/>
      <c r="F16" s="307"/>
      <c r="G16" s="307"/>
      <c r="H16" s="307"/>
      <c r="I16" s="44">
        <v>12</v>
      </c>
      <c r="J16" s="46"/>
      <c r="K16" s="46"/>
    </row>
    <row r="17" spans="1:11" ht="12.75">
      <c r="A17" s="306" t="s">
        <v>294</v>
      </c>
      <c r="B17" s="307"/>
      <c r="C17" s="307"/>
      <c r="D17" s="307"/>
      <c r="E17" s="307"/>
      <c r="F17" s="307"/>
      <c r="G17" s="307"/>
      <c r="H17" s="307"/>
      <c r="I17" s="44">
        <v>13</v>
      </c>
      <c r="J17" s="46"/>
      <c r="K17" s="46"/>
    </row>
    <row r="18" spans="1:11" ht="12.75">
      <c r="A18" s="306" t="s">
        <v>295</v>
      </c>
      <c r="B18" s="307"/>
      <c r="C18" s="307"/>
      <c r="D18" s="307"/>
      <c r="E18" s="307"/>
      <c r="F18" s="307"/>
      <c r="G18" s="307"/>
      <c r="H18" s="307"/>
      <c r="I18" s="44">
        <v>14</v>
      </c>
      <c r="J18" s="46"/>
      <c r="K18" s="46"/>
    </row>
    <row r="19" spans="1:11" ht="12.75">
      <c r="A19" s="306" t="s">
        <v>296</v>
      </c>
      <c r="B19" s="307"/>
      <c r="C19" s="307"/>
      <c r="D19" s="307"/>
      <c r="E19" s="307"/>
      <c r="F19" s="307"/>
      <c r="G19" s="307"/>
      <c r="H19" s="307"/>
      <c r="I19" s="44">
        <v>15</v>
      </c>
      <c r="J19" s="46"/>
      <c r="K19" s="46"/>
    </row>
    <row r="20" spans="1:11" ht="12.75">
      <c r="A20" s="306" t="s">
        <v>297</v>
      </c>
      <c r="B20" s="307"/>
      <c r="C20" s="307"/>
      <c r="D20" s="307"/>
      <c r="E20" s="307"/>
      <c r="F20" s="307"/>
      <c r="G20" s="307"/>
      <c r="H20" s="307"/>
      <c r="I20" s="44">
        <v>16</v>
      </c>
      <c r="J20" s="46"/>
      <c r="K20" s="46"/>
    </row>
    <row r="21" spans="1:11" ht="12.75">
      <c r="A21" s="308" t="s">
        <v>298</v>
      </c>
      <c r="B21" s="309"/>
      <c r="C21" s="309"/>
      <c r="D21" s="309"/>
      <c r="E21" s="309"/>
      <c r="F21" s="309"/>
      <c r="G21" s="309"/>
      <c r="H21" s="309"/>
      <c r="I21" s="44">
        <v>17</v>
      </c>
      <c r="J21" s="125">
        <f>SUM(J15:J20)</f>
        <v>0</v>
      </c>
      <c r="K21" s="125">
        <f>SUM(K15:K20)</f>
        <v>0</v>
      </c>
    </row>
    <row r="22" spans="1:11" ht="12.75">
      <c r="A22" s="310"/>
      <c r="B22" s="311"/>
      <c r="C22" s="311"/>
      <c r="D22" s="311"/>
      <c r="E22" s="311"/>
      <c r="F22" s="311"/>
      <c r="G22" s="311"/>
      <c r="H22" s="311"/>
      <c r="I22" s="312"/>
      <c r="J22" s="312"/>
      <c r="K22" s="313"/>
    </row>
    <row r="23" spans="1:11" ht="12.75">
      <c r="A23" s="298" t="s">
        <v>299</v>
      </c>
      <c r="B23" s="299"/>
      <c r="C23" s="299"/>
      <c r="D23" s="299"/>
      <c r="E23" s="299"/>
      <c r="F23" s="299"/>
      <c r="G23" s="299"/>
      <c r="H23" s="299"/>
      <c r="I23" s="47">
        <v>18</v>
      </c>
      <c r="J23" s="45"/>
      <c r="K23" s="6"/>
    </row>
    <row r="24" spans="1:11" ht="17.25" customHeight="1">
      <c r="A24" s="300" t="s">
        <v>300</v>
      </c>
      <c r="B24" s="301"/>
      <c r="C24" s="301"/>
      <c r="D24" s="301"/>
      <c r="E24" s="301"/>
      <c r="F24" s="301"/>
      <c r="G24" s="301"/>
      <c r="H24" s="301"/>
      <c r="I24" s="48">
        <v>19</v>
      </c>
      <c r="J24" s="73"/>
      <c r="K24" s="73"/>
    </row>
    <row r="25" spans="1:11" ht="30" customHeight="1">
      <c r="A25" s="302" t="s">
        <v>301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J14" sqref="J1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9" t="s">
        <v>277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20" t="s">
        <v>313</v>
      </c>
      <c r="B4" s="320"/>
      <c r="C4" s="320"/>
      <c r="D4" s="320"/>
      <c r="E4" s="320"/>
      <c r="F4" s="320"/>
      <c r="G4" s="320"/>
      <c r="H4" s="320"/>
      <c r="I4" s="320"/>
      <c r="J4" s="320"/>
    </row>
    <row r="5" spans="1:10" ht="12.75" customHeight="1">
      <c r="A5" s="320"/>
      <c r="B5" s="320"/>
      <c r="C5" s="320"/>
      <c r="D5" s="320"/>
      <c r="E5" s="320"/>
      <c r="F5" s="320"/>
      <c r="G5" s="320"/>
      <c r="H5" s="320"/>
      <c r="I5" s="320"/>
      <c r="J5" s="320"/>
    </row>
    <row r="6" spans="1:10" ht="12.75" customHeight="1">
      <c r="A6" s="320"/>
      <c r="B6" s="320"/>
      <c r="C6" s="320"/>
      <c r="D6" s="320"/>
      <c r="E6" s="320"/>
      <c r="F6" s="320"/>
      <c r="G6" s="320"/>
      <c r="H6" s="320"/>
      <c r="I6" s="320"/>
      <c r="J6" s="320"/>
    </row>
    <row r="7" spans="1:10" ht="12.75" customHeight="1">
      <c r="A7" s="320"/>
      <c r="B7" s="320"/>
      <c r="C7" s="320"/>
      <c r="D7" s="320"/>
      <c r="E7" s="320"/>
      <c r="F7" s="320"/>
      <c r="G7" s="320"/>
      <c r="H7" s="320"/>
      <c r="I7" s="320"/>
      <c r="J7" s="320"/>
    </row>
    <row r="8" spans="1:10" ht="12.75" customHeight="1">
      <c r="A8" s="320"/>
      <c r="B8" s="320"/>
      <c r="C8" s="320"/>
      <c r="D8" s="320"/>
      <c r="E8" s="320"/>
      <c r="F8" s="320"/>
      <c r="G8" s="320"/>
      <c r="H8" s="320"/>
      <c r="I8" s="320"/>
      <c r="J8" s="320"/>
    </row>
    <row r="9" spans="1:10" ht="12.75" customHeight="1">
      <c r="A9" s="320"/>
      <c r="B9" s="320"/>
      <c r="C9" s="320"/>
      <c r="D9" s="320"/>
      <c r="E9" s="320"/>
      <c r="F9" s="320"/>
      <c r="G9" s="320"/>
      <c r="H9" s="320"/>
      <c r="I9" s="320"/>
      <c r="J9" s="320"/>
    </row>
    <row r="10" spans="1:10" ht="12.75" customHeight="1">
      <c r="A10" s="320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12.75">
      <c r="A11" s="321"/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Divna Pjevalica</cp:lastModifiedBy>
  <cp:lastPrinted>2019-02-26T14:34:43Z</cp:lastPrinted>
  <dcterms:created xsi:type="dcterms:W3CDTF">2008-10-17T11:51:54Z</dcterms:created>
  <dcterms:modified xsi:type="dcterms:W3CDTF">2019-02-28T08:00:33Z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