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<sst xmlns="http://schemas.openxmlformats.org/spreadsheetml/2006/main" count="403" uniqueCount="353">
  <si>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</si>
  <si>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</si>
  <si>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</si>
  <si>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</si>
  <si>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</si>
  <si>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</si>
  <si>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</si>
  <si>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</si>
  <si>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</si>
  <si>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</si>
  <si>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</si>
  <si>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</si>
  <si>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</si>
  <si>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</si>
  <si>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</si>
  <si>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</si>
  <si>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</si>
  <si>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</si>
  <si>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</si>
  <si>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</si>
  <si>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</si>
  <si>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</si>
  <si>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</si>
  <si>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</si>
  <si>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</si>
  <si>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</si>
  <si>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</si>
  <si>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</si>
  <si>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</si>
  <si>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</si>
  <si>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</si>
  <si>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</si>
  <si>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</si>
  <si>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</si>
  <si>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</si>
  <si>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</si>
  <si>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</si>
  <si>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</si>
  <si>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</si>
  <si>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</si>
  <si>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</si>
  <si>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</si>
  <si>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</si>
  <si>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</si>
  <si>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</si>
  <si>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</si>
  <si>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</si>
  <si>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</si>
  <si>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</si>
  <si>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</si>
  <si>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</si>
  <si>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</si>
  <si>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</si>
  <si>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</si>
  <si>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</si>
  <si>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</si>
  <si>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</si>
  <si>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</si>
  <si>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</si>
  <si>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</si>
  <si>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</si>
  <si>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</si>
  <si>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</si>
  <si>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</si>
  <si>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</si>
  <si>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</si>
  <si>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</si>
  <si>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</si>
  <si>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</si>
  <si>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</si>
  <si>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</si>
  <si>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</si>
  <si>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</si>
  <si>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</si>
  <si>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</si>
  <si>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</si>
  <si>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</si>
  <si>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</si>
  <si>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</si>
  <si>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</si>
  <si>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</si>
  <si>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</si>
  <si>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</si>
  <si>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</si>
  <si>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</si>
  <si>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</si>
  <si>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</si>
  <si>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</si>
  <si>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</si>
  <si>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</si>
  <si>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</si>
  <si>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</si>
  <si>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</si>
  <si>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</si>
  <si>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</si>
  <si>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</si>
  <si>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</si>
  <si>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</si>
  <si>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</si>
  <si>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</si>
  <si>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</si>
  <si>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</si>
  <si>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</si>
  <si>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</si>
  <si>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</si>
  <si>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</si>
  <si>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</si>
  <si>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</si>
  <si>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</si>
  <si>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</si>
  <si>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</si>
  <si>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</si>
  <si>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</si>
  <si>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</si>
  <si>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</si>
  <si>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</si>
  <si>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</si>
  <si>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</si>
  <si>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</si>
  <si>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</si>
  <si>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</si>
  <si>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</si>
  <si>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</si>
  <si>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</si>
  <si>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</si>
  <si>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</si>
  <si>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</si>
  <si>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</si>
  <si>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</si>
  <si>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</si>
  <si>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</si>
  <si>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</si>
  <si>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</si>
  <si>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</si>
  <si>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</si>
  <si>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</si>
  <si>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</si>
  <si>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</si>
  <si>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</si>
  <si>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</si>
  <si>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</si>
  <si>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</si>
  <si>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</si>
  <si>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</si>
  <si>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</si>
  <si>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</si>
  <si>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</si>
  <si>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</si>
  <si>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</si>
  <si>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</si>
  <si>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</si>
  <si>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</si>
  <si>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</si>
  <si>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</si>
  <si>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</si>
  <si>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</si>
  <si>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</si>
  <si>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</si>
  <si>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</si>
  <si>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</si>
  <si>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</si>
  <si>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</si>
  <si>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</si>
  <si>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</si>
  <si>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</si>
  <si>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</si>
  <si>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</si>
  <si>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</si>
  <si>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</si>
  <si>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</si>
  <si>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</si>
  <si>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</si>
  <si>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</si>
  <si>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</si>
  <si>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</si>
  <si>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</si>
  <si>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</si>
  <si>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</si>
  <si>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</si>
  <si>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</si>
  <si>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</si>
  <si>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</si>
  <si>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</si>
  <si>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</si>
  <si>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</si>
  <si>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</si>
  <si>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</si>
  <si>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</si>
  <si>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</si>
  <si>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</si>
  <si>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</si>
  <si>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</si>
  <si>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</si>
  <si>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</si>
  <si>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</si>
  <si>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</si>
  <si>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</si>
  <si>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</si>
  <si>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</si>
  <si>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</si>
  <si>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</si>
  <si>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</si>
  <si>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</si>
  <si>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</si>
  <si>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</si>
  <si>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</si>
  <si>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</si>
  <si>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</si>
  <si>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</si>
  <si>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</si>
  <si>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</si>
  <si>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</si>
  <si>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</si>
  <si>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</si>
  <si>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</si>
  <si>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</si>
  <si>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</si>
  <si>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</si>
  <si>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</si>
  <si>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</si>
  <si>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</si>
  <si>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</si>
  <si>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</si>
  <si>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</si>
  <si>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</si>
  <si>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</si>
  <si>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</si>
  <si>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</si>
  <si>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</si>
  <si>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</si>
  <si>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</si>
  <si>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</si>
  <si>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</si>
  <si>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</si>
  <si>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</si>
  <si>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</si>
  <si>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</si>
  <si>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</si>
  <si>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</si>
  <si>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</si>
  <si>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</si>
  <si>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</si>
  <si>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</si>
  <si>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</si>
  <si>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</si>
  <si>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</si>
  <si>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</si>
  <si>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</si>
  <si>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</si>
  <si>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</si>
  <si>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</si>
  <si>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</si>
  <si>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</si>
  <si>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</si>
  <si>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</si>
  <si>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</si>
  <si>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</si>
  <si>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</si>
  <si>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</si>
  <si>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</si>
  <si>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</si>
  <si>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</si>
  <si>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</si>
  <si>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</si>
  <si>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</si>
  <si>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</si>
  <si>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</si>
  <si>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</si>
  <si>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</si>
  <si>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</si>
  <si>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</si>
  <si>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</si>
  <si>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</si>
  <si>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</si>
  <si>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</si>
  <si>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</si>
  <si>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</si>
  <si>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</si>
  <si>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</si>
  <si>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</si>
  <si>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</si>
  <si>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</si>
  <si>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</si>
  <si>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</si>
  <si>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</si>
  <si>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</si>
  <si>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</si>
  <si>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</si>
  <si>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</si>
  <si>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</si>
  <si>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</si>
  <si>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</si>
  <si>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</si>
  <si>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</si>
  <si>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</si>
  <si>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</si>
  <si>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</si>
  <si>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</si>
  <si>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</si>
  <si>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</si>
  <si>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</si>
  <si>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03333710</t>
  </si>
  <si>
    <t>040000358</t>
  </si>
  <si>
    <t>27531244647</t>
  </si>
  <si>
    <t>Brodogradilište Viktor Lenac d.d.</t>
  </si>
  <si>
    <t>Martinšćica bb</t>
  </si>
  <si>
    <t>viktor.lenac@lenac.hr</t>
  </si>
  <si>
    <t>www.lenac.hr</t>
  </si>
  <si>
    <t>Primorsko-Goranska</t>
  </si>
  <si>
    <t>3011</t>
  </si>
  <si>
    <t>Divna Pjevalica</t>
  </si>
  <si>
    <t>051/405-616</t>
  </si>
  <si>
    <t>051/217-304</t>
  </si>
  <si>
    <t>Sandra Uzelac; Aljoša Pavelin</t>
  </si>
  <si>
    <t>A)  KAPITAL I REZERVE (063+064+065+071+072+075+078)</t>
  </si>
  <si>
    <t>1.1.2017.</t>
  </si>
  <si>
    <t>AKTIVA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</si>
  <si>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</si>
  <si>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</si>
  <si>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DA</t>
  </si>
  <si>
    <t>Viktor Servisi d.o.o.</t>
  </si>
  <si>
    <t>Rijeka, Martinšćica bb</t>
  </si>
  <si>
    <t>03767248</t>
  </si>
  <si>
    <t>divna.pjevalica@lenac.hr</t>
  </si>
  <si>
    <t>Obveznik: Brodogradilište Viktor Lenac d.d. - GRUPA</t>
  </si>
  <si>
    <t>Obveznik:  Brodogradilište Viktor Lenac d.d. - GRUPA</t>
  </si>
  <si>
    <t>Obveznik: Brodogradilište Viktor Lenac d.d.-GRUPA</t>
  </si>
  <si>
    <t>Rijeka</t>
  </si>
  <si>
    <t>AOP
oznaka</t>
  </si>
  <si>
    <r>
      <t xml:space="preserve">I. POSLOVNI PRIHODI </t>
    </r>
    <r>
      <rPr>
        <sz val="8"/>
        <rFont val="Arial"/>
        <family val="2"/>
      </rPr>
      <t>(112+113)</t>
    </r>
  </si>
  <si>
    <r>
      <t xml:space="preserve">II. POSLOVNI RASHODI </t>
    </r>
    <r>
      <rPr>
        <sz val="8"/>
        <rFont val="Arial"/>
        <family val="2"/>
      </rPr>
      <t>(115+116+120+124+125+126+129+130)</t>
    </r>
  </si>
  <si>
    <r>
      <t xml:space="preserve">    2. Materijalni troškovi </t>
    </r>
    <r>
      <rPr>
        <sz val="8"/>
        <rFont val="Arial"/>
        <family val="2"/>
      </rPr>
      <t>(117 do 119)</t>
    </r>
  </si>
  <si>
    <r>
      <t xml:space="preserve">   3. Troškovi osoblja </t>
    </r>
    <r>
      <rPr>
        <sz val="8"/>
        <rFont val="Arial"/>
        <family val="2"/>
      </rPr>
      <t>(121 do 123)</t>
    </r>
  </si>
  <si>
    <r>
      <t xml:space="preserve">   6. Vrijednosno usklađivanje </t>
    </r>
    <r>
      <rPr>
        <sz val="8"/>
        <rFont val="Arial"/>
        <family val="2"/>
      </rPr>
      <t>(127+128)</t>
    </r>
  </si>
  <si>
    <r>
      <t xml:space="preserve">III. FINANCIJSKI PRIHODI </t>
    </r>
    <r>
      <rPr>
        <sz val="8"/>
        <rFont val="Arial"/>
        <family val="2"/>
      </rPr>
      <t>(132 do 136)</t>
    </r>
  </si>
  <si>
    <r>
      <t xml:space="preserve">IV. FINANCIJSKI RASHODI </t>
    </r>
    <r>
      <rPr>
        <sz val="8"/>
        <rFont val="Arial"/>
        <family val="2"/>
      </rPr>
      <t>(138 do 141)</t>
    </r>
  </si>
  <si>
    <r>
      <t xml:space="preserve">IX.  UKUPNI PRIHODI </t>
    </r>
    <r>
      <rPr>
        <sz val="8"/>
        <rFont val="Arial"/>
        <family val="2"/>
      </rPr>
      <t>(111+131+142 + 144)</t>
    </r>
  </si>
  <si>
    <r>
      <t xml:space="preserve">X.   UKUPNI RASHODI </t>
    </r>
    <r>
      <rPr>
        <sz val="8"/>
        <rFont val="Arial"/>
        <family val="2"/>
      </rPr>
      <t>(114+137+143 + 145)</t>
    </r>
  </si>
  <si>
    <r>
      <t xml:space="preserve">XI.  DOBIT ILI GUBITAK PRIJE OPOREZIVANJA </t>
    </r>
    <r>
      <rPr>
        <sz val="8"/>
        <rFont val="Arial"/>
        <family val="2"/>
      </rPr>
      <t>(146-147)</t>
    </r>
  </si>
  <si>
    <r>
      <t xml:space="preserve">XIII. DOBIT ILI GUBITAK RAZDOBLJA </t>
    </r>
    <r>
      <rPr>
        <sz val="8"/>
        <rFont val="Arial"/>
        <family val="2"/>
      </rPr>
      <t>(148-151)</t>
    </r>
  </si>
  <si>
    <r>
      <t xml:space="preserve">II. OSTALA SVEOBUHVATNA DOBIT/GUBITAK PRIJE POREZA </t>
    </r>
    <r>
      <rPr>
        <sz val="8"/>
        <rFont val="Arial"/>
        <family val="2"/>
      </rPr>
      <t>(159 do 165)</t>
    </r>
  </si>
  <si>
    <r>
      <t>IV. NETO OSTALA SVEOBUHVATNA DOBIT ILI GUBITAK
      RAZDOBLJA</t>
    </r>
    <r>
      <rPr>
        <sz val="8"/>
        <rFont val="Arial"/>
        <family val="2"/>
      </rPr>
      <t xml:space="preserve"> (158-166)</t>
    </r>
  </si>
  <si>
    <t>IZVJEŠTAJ O PROMJENAMA KAPITALA - GRUPA</t>
  </si>
  <si>
    <t>VL Steel d.o.o.</t>
  </si>
  <si>
    <t>040380038</t>
  </si>
  <si>
    <t>Rijeka, Radnička 39</t>
  </si>
  <si>
    <t>stanje na dan 31.12.2017.</t>
  </si>
  <si>
    <t>u razdoblju 01.01.2017. do 31.12.2017.</t>
  </si>
  <si>
    <t>31.12.2017.</t>
  </si>
  <si>
    <r>
      <t xml:space="preserve">B)  DUGOTRAJNA IMOVINA </t>
    </r>
    <r>
      <rPr>
        <sz val="9"/>
        <rFont val="Arial"/>
        <family val="2"/>
      </rPr>
      <t>(003+010+020+029+033)</t>
    </r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</si>
  <si>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</si>
  <si>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</si>
  <si>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>DODATAK BILANCI (popunjava poduzetnik koji sastavlja konsolidirani financijski izvještaj)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</si>
</sst>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9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1" fontId="2" fillId="0" borderId="25" xfId="57" applyNumberFormat="1" applyFont="1" applyFill="1" applyBorder="1" applyAlignment="1" applyProtection="1">
      <alignment horizontal="left" vertical="center"/>
      <protection hidden="1" locked="0"/>
    </xf>
    <xf numFmtId="1" fontId="2" fillId="0" borderId="26" xfId="57" applyNumberFormat="1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49" fontId="2" fillId="0" borderId="25" xfId="57" applyNumberFormat="1" applyFont="1" applyFill="1" applyBorder="1" applyAlignment="1" applyProtection="1" quotePrefix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9" fillId="0" borderId="31" xfId="57" applyFont="1" applyBorder="1" applyAlignment="1">
      <alignment/>
      <protection/>
    </xf>
    <xf numFmtId="0" fontId="9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6" xfId="0" applyFont="1" applyFill="1" applyBorder="1" applyAlignment="1" applyProtection="1">
      <alignment horizontal="center" vertical="top" wrapText="1"/>
      <protection hidden="1"/>
    </xf>
    <xf numFmtId="0" fontId="2" fillId="0" borderId="27" xfId="0" applyFont="1" applyFill="1" applyBorder="1" applyAlignment="1" applyProtection="1">
      <alignment horizontal="center" vertical="top" wrapText="1"/>
      <protection hidden="1"/>
    </xf>
    <xf numFmtId="0" fontId="55" fillId="34" borderId="30" xfId="0" applyFont="1" applyFill="1" applyBorder="1" applyAlignment="1" applyProtection="1">
      <alignment vertical="center" wrapText="1"/>
      <protection hidden="1"/>
    </xf>
    <xf numFmtId="0" fontId="55" fillId="34" borderId="37" xfId="0" applyFont="1" applyFill="1" applyBorder="1" applyAlignment="1" applyProtection="1">
      <alignment vertical="center" wrapText="1"/>
      <protection hidden="1"/>
    </xf>
    <xf numFmtId="0" fontId="55" fillId="34" borderId="38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>
      <alignment horizontal="left" vertical="center" wrapText="1" indent="1"/>
    </xf>
    <xf numFmtId="0" fontId="6" fillId="0" borderId="42" xfId="0" applyFont="1" applyFill="1" applyBorder="1" applyAlignment="1">
      <alignment horizontal="left" vertical="center" wrapText="1" indent="1"/>
    </xf>
    <xf numFmtId="0" fontId="6" fillId="0" borderId="43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40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3" xfId="0" applyFont="1" applyFill="1" applyBorder="1" applyAlignment="1" applyProtection="1">
      <alignment horizontal="center" vertical="top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 indent="1"/>
    </xf>
    <xf numFmtId="0" fontId="1" fillId="0" borderId="42" xfId="0" applyFont="1" applyFill="1" applyBorder="1" applyAlignment="1">
      <alignment horizontal="left" vertical="center" wrapText="1" indent="1"/>
    </xf>
    <xf numFmtId="0" fontId="1" fillId="0" borderId="43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40" xfId="0" applyFont="1" applyFill="1" applyBorder="1" applyAlignment="1">
      <alignment horizontal="left" vertical="center" wrapText="1" indent="1"/>
    </xf>
    <xf numFmtId="0" fontId="1" fillId="0" borderId="41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56" fillId="35" borderId="25" xfId="0" applyFont="1" applyFill="1" applyBorder="1" applyAlignment="1" applyProtection="1">
      <alignment horizontal="left" vertical="center" wrapText="1"/>
      <protection hidden="1"/>
    </xf>
    <xf numFmtId="0" fontId="56" fillId="35" borderId="26" xfId="0" applyFont="1" applyFill="1" applyBorder="1" applyAlignment="1" applyProtection="1">
      <alignment horizontal="left" vertical="center" wrapText="1"/>
      <protection hidden="1"/>
    </xf>
    <xf numFmtId="0" fontId="56" fillId="35" borderId="27" xfId="0" applyFont="1" applyFill="1" applyBorder="1" applyAlignment="1" applyProtection="1">
      <alignment horizontal="left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38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 applyProtection="1">
      <alignment vertical="center" wrapText="1"/>
      <protection hidden="1"/>
    </xf>
    <xf numFmtId="0" fontId="2" fillId="33" borderId="37" xfId="0" applyFont="1" applyFill="1" applyBorder="1" applyAlignment="1" applyProtection="1">
      <alignment vertical="center" wrapText="1"/>
      <protection hidden="1"/>
    </xf>
    <xf numFmtId="0" fontId="2" fillId="33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="110" zoomScaleSheetLayoutView="110" zoomScalePageLayoutView="0" workbookViewId="0" topLeftCell="A1">
      <selection activeCell="H8" sqref="H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8" t="s">
        <v>229</v>
      </c>
      <c r="B1" s="199"/>
      <c r="C1" s="199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51" t="s">
        <v>230</v>
      </c>
      <c r="B2" s="152"/>
      <c r="C2" s="152"/>
      <c r="D2" s="153"/>
      <c r="E2" s="110">
        <v>42736</v>
      </c>
      <c r="F2" s="11"/>
      <c r="G2" s="12" t="s">
        <v>231</v>
      </c>
      <c r="H2" s="110">
        <v>43100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54" t="s">
        <v>295</v>
      </c>
      <c r="B4" s="155"/>
      <c r="C4" s="155"/>
      <c r="D4" s="155"/>
      <c r="E4" s="155"/>
      <c r="F4" s="155"/>
      <c r="G4" s="155"/>
      <c r="H4" s="155"/>
      <c r="I4" s="156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57" t="s">
        <v>232</v>
      </c>
      <c r="B6" s="158"/>
      <c r="C6" s="149" t="s">
        <v>301</v>
      </c>
      <c r="D6" s="150"/>
      <c r="E6" s="28"/>
      <c r="F6" s="28"/>
      <c r="G6" s="28"/>
      <c r="H6" s="28"/>
      <c r="I6" s="83"/>
      <c r="J6" s="9"/>
      <c r="K6" s="9"/>
      <c r="L6" s="9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9"/>
      <c r="K7" s="9"/>
      <c r="L7" s="9"/>
    </row>
    <row r="8" spans="1:12" ht="12.75">
      <c r="A8" s="159" t="s">
        <v>233</v>
      </c>
      <c r="B8" s="160"/>
      <c r="C8" s="149" t="s">
        <v>302</v>
      </c>
      <c r="D8" s="150"/>
      <c r="E8" s="28"/>
      <c r="F8" s="28"/>
      <c r="G8" s="28"/>
      <c r="H8" s="28"/>
      <c r="I8" s="85"/>
      <c r="J8" s="9"/>
      <c r="K8" s="9"/>
      <c r="L8" s="9"/>
    </row>
    <row r="9" spans="1:12" ht="12.75">
      <c r="A9" s="86"/>
      <c r="B9" s="49"/>
      <c r="C9" s="19"/>
      <c r="D9" s="25"/>
      <c r="E9" s="15"/>
      <c r="F9" s="15"/>
      <c r="G9" s="15"/>
      <c r="H9" s="15"/>
      <c r="I9" s="85"/>
      <c r="J9" s="9"/>
      <c r="K9" s="9"/>
      <c r="L9" s="9"/>
    </row>
    <row r="10" spans="1:12" ht="12.75">
      <c r="A10" s="146" t="s">
        <v>234</v>
      </c>
      <c r="B10" s="147"/>
      <c r="C10" s="149" t="s">
        <v>303</v>
      </c>
      <c r="D10" s="150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48"/>
      <c r="B11" s="147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57" t="s">
        <v>235</v>
      </c>
      <c r="B12" s="158"/>
      <c r="C12" s="161" t="s">
        <v>304</v>
      </c>
      <c r="D12" s="162"/>
      <c r="E12" s="162"/>
      <c r="F12" s="162"/>
      <c r="G12" s="162"/>
      <c r="H12" s="162"/>
      <c r="I12" s="163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57" t="s">
        <v>236</v>
      </c>
      <c r="B14" s="158"/>
      <c r="C14" s="164">
        <v>51000</v>
      </c>
      <c r="D14" s="165"/>
      <c r="E14" s="15"/>
      <c r="F14" s="161" t="s">
        <v>327</v>
      </c>
      <c r="G14" s="162"/>
      <c r="H14" s="162"/>
      <c r="I14" s="163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57" t="s">
        <v>237</v>
      </c>
      <c r="B16" s="158"/>
      <c r="C16" s="161" t="s">
        <v>305</v>
      </c>
      <c r="D16" s="162"/>
      <c r="E16" s="162"/>
      <c r="F16" s="162"/>
      <c r="G16" s="162"/>
      <c r="H16" s="162"/>
      <c r="I16" s="163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57" t="s">
        <v>238</v>
      </c>
      <c r="B18" s="158"/>
      <c r="C18" s="166" t="s">
        <v>306</v>
      </c>
      <c r="D18" s="167"/>
      <c r="E18" s="167"/>
      <c r="F18" s="167"/>
      <c r="G18" s="167"/>
      <c r="H18" s="167"/>
      <c r="I18" s="168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57" t="s">
        <v>239</v>
      </c>
      <c r="B20" s="158"/>
      <c r="C20" s="166" t="s">
        <v>307</v>
      </c>
      <c r="D20" s="167"/>
      <c r="E20" s="167"/>
      <c r="F20" s="167"/>
      <c r="G20" s="167"/>
      <c r="H20" s="167"/>
      <c r="I20" s="168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57" t="s">
        <v>240</v>
      </c>
      <c r="B22" s="158"/>
      <c r="C22" s="111">
        <v>373</v>
      </c>
      <c r="D22" s="161"/>
      <c r="E22" s="169"/>
      <c r="F22" s="170"/>
      <c r="G22" s="157"/>
      <c r="H22" s="171"/>
      <c r="I22" s="87"/>
      <c r="J22" s="9"/>
      <c r="K22" s="9"/>
      <c r="L22" s="9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9"/>
      <c r="K23" s="9"/>
      <c r="L23" s="9"/>
    </row>
    <row r="24" spans="1:12" ht="12.75">
      <c r="A24" s="157" t="s">
        <v>241</v>
      </c>
      <c r="B24" s="158"/>
      <c r="C24" s="180" t="s">
        <v>308</v>
      </c>
      <c r="D24" s="181"/>
      <c r="E24" s="181"/>
      <c r="F24" s="181"/>
      <c r="G24" s="182"/>
      <c r="H24" s="50" t="s">
        <v>242</v>
      </c>
      <c r="I24" s="112">
        <f>488+17+10</f>
        <v>515</v>
      </c>
      <c r="J24" s="9"/>
      <c r="K24" s="9"/>
      <c r="L24" s="9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296</v>
      </c>
      <c r="I25" s="88"/>
      <c r="J25" s="9"/>
      <c r="K25" s="9"/>
      <c r="L25" s="9"/>
    </row>
    <row r="26" spans="1:12" ht="12.75">
      <c r="A26" s="157" t="s">
        <v>243</v>
      </c>
      <c r="B26" s="158"/>
      <c r="C26" s="113" t="s">
        <v>319</v>
      </c>
      <c r="D26" s="24"/>
      <c r="E26" s="32"/>
      <c r="F26" s="23"/>
      <c r="G26" s="172" t="s">
        <v>244</v>
      </c>
      <c r="H26" s="158"/>
      <c r="I26" s="114" t="s">
        <v>309</v>
      </c>
      <c r="J26" s="9"/>
      <c r="K26" s="9"/>
      <c r="L26" s="9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9"/>
      <c r="K27" s="9"/>
      <c r="L27" s="9"/>
    </row>
    <row r="28" spans="1:12" ht="12.75">
      <c r="A28" s="173" t="s">
        <v>245</v>
      </c>
      <c r="B28" s="174"/>
      <c r="C28" s="175"/>
      <c r="D28" s="175"/>
      <c r="E28" s="176" t="s">
        <v>246</v>
      </c>
      <c r="F28" s="177"/>
      <c r="G28" s="177"/>
      <c r="H28" s="178" t="s">
        <v>247</v>
      </c>
      <c r="I28" s="179"/>
      <c r="J28" s="9"/>
      <c r="K28" s="9"/>
      <c r="L28" s="9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9"/>
      <c r="K29" s="9"/>
      <c r="L29" s="9"/>
    </row>
    <row r="30" spans="1:12" ht="12.75">
      <c r="A30" s="161" t="s">
        <v>320</v>
      </c>
      <c r="B30" s="169"/>
      <c r="C30" s="169"/>
      <c r="D30" s="170"/>
      <c r="E30" s="161" t="s">
        <v>321</v>
      </c>
      <c r="F30" s="169"/>
      <c r="G30" s="169"/>
      <c r="H30" s="149" t="s">
        <v>322</v>
      </c>
      <c r="I30" s="150"/>
      <c r="J30" s="9"/>
      <c r="K30" s="9"/>
      <c r="L30" s="9"/>
    </row>
    <row r="31" spans="1:12" ht="12.75">
      <c r="A31" s="84"/>
      <c r="B31" s="21"/>
      <c r="C31" s="20"/>
      <c r="D31" s="183"/>
      <c r="E31" s="183"/>
      <c r="F31" s="183"/>
      <c r="G31" s="184"/>
      <c r="H31" s="15"/>
      <c r="I31" s="91"/>
      <c r="J31" s="9"/>
      <c r="K31" s="9"/>
      <c r="L31" s="9"/>
    </row>
    <row r="32" spans="1:12" ht="12.75">
      <c r="A32" s="161" t="s">
        <v>343</v>
      </c>
      <c r="B32" s="169"/>
      <c r="C32" s="169"/>
      <c r="D32" s="170"/>
      <c r="E32" s="161" t="s">
        <v>345</v>
      </c>
      <c r="F32" s="169"/>
      <c r="G32" s="169"/>
      <c r="H32" s="185" t="s">
        <v>344</v>
      </c>
      <c r="I32" s="150"/>
      <c r="J32" s="9"/>
      <c r="K32" s="9"/>
      <c r="L32" s="9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2"/>
      <c r="J33" s="9"/>
      <c r="K33" s="9"/>
      <c r="L33" s="9"/>
    </row>
    <row r="34" spans="1:12" ht="12.75">
      <c r="A34" s="186"/>
      <c r="B34" s="187"/>
      <c r="C34" s="187"/>
      <c r="D34" s="188"/>
      <c r="E34" s="186"/>
      <c r="F34" s="187"/>
      <c r="G34" s="187"/>
      <c r="H34" s="149"/>
      <c r="I34" s="150"/>
      <c r="J34" s="9"/>
      <c r="K34" s="9"/>
      <c r="L34" s="9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2"/>
      <c r="J35" s="9"/>
      <c r="K35" s="9"/>
      <c r="L35" s="9"/>
    </row>
    <row r="36" spans="1:12" ht="12.75">
      <c r="A36" s="186"/>
      <c r="B36" s="187"/>
      <c r="C36" s="187"/>
      <c r="D36" s="188"/>
      <c r="E36" s="186"/>
      <c r="F36" s="187"/>
      <c r="G36" s="187"/>
      <c r="H36" s="149"/>
      <c r="I36" s="150"/>
      <c r="J36" s="9"/>
      <c r="K36" s="9"/>
      <c r="L36" s="9"/>
    </row>
    <row r="37" spans="1:12" ht="12.75">
      <c r="A37" s="93"/>
      <c r="B37" s="29"/>
      <c r="C37" s="189"/>
      <c r="D37" s="190"/>
      <c r="E37" s="15"/>
      <c r="F37" s="189"/>
      <c r="G37" s="190"/>
      <c r="H37" s="15"/>
      <c r="I37" s="85"/>
      <c r="J37" s="9"/>
      <c r="K37" s="9"/>
      <c r="L37" s="9"/>
    </row>
    <row r="38" spans="1:12" ht="12.75">
      <c r="A38" s="186"/>
      <c r="B38" s="187"/>
      <c r="C38" s="187"/>
      <c r="D38" s="188"/>
      <c r="E38" s="186"/>
      <c r="F38" s="187"/>
      <c r="G38" s="187"/>
      <c r="H38" s="149"/>
      <c r="I38" s="150"/>
      <c r="J38" s="9"/>
      <c r="K38" s="9"/>
      <c r="L38" s="9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5"/>
      <c r="J39" s="9"/>
      <c r="K39" s="9"/>
      <c r="L39" s="9"/>
    </row>
    <row r="40" spans="1:12" ht="12.75">
      <c r="A40" s="186"/>
      <c r="B40" s="187"/>
      <c r="C40" s="187"/>
      <c r="D40" s="188"/>
      <c r="E40" s="186"/>
      <c r="F40" s="187"/>
      <c r="G40" s="187"/>
      <c r="H40" s="149"/>
      <c r="I40" s="150"/>
      <c r="J40" s="9"/>
      <c r="K40" s="9"/>
      <c r="L40" s="9"/>
    </row>
    <row r="41" spans="1:12" ht="12.75">
      <c r="A41" s="115"/>
      <c r="B41" s="32"/>
      <c r="C41" s="32"/>
      <c r="D41" s="32"/>
      <c r="E41" s="22"/>
      <c r="F41" s="116"/>
      <c r="G41" s="116"/>
      <c r="H41" s="117"/>
      <c r="I41" s="94"/>
      <c r="J41" s="9"/>
      <c r="K41" s="9"/>
      <c r="L41" s="9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5"/>
      <c r="J42" s="9"/>
      <c r="K42" s="9"/>
      <c r="L42" s="9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9"/>
      <c r="K43" s="9"/>
      <c r="L43" s="9"/>
    </row>
    <row r="44" spans="1:12" ht="12.75">
      <c r="A44" s="146" t="s">
        <v>248</v>
      </c>
      <c r="B44" s="194"/>
      <c r="C44" s="149"/>
      <c r="D44" s="150"/>
      <c r="E44" s="25"/>
      <c r="F44" s="161"/>
      <c r="G44" s="187"/>
      <c r="H44" s="187"/>
      <c r="I44" s="188"/>
      <c r="J44" s="9"/>
      <c r="K44" s="9"/>
      <c r="L44" s="9"/>
    </row>
    <row r="45" spans="1:12" ht="12.75">
      <c r="A45" s="93"/>
      <c r="B45" s="29"/>
      <c r="C45" s="189"/>
      <c r="D45" s="190"/>
      <c r="E45" s="15"/>
      <c r="F45" s="189"/>
      <c r="G45" s="191"/>
      <c r="H45" s="34"/>
      <c r="I45" s="97"/>
      <c r="J45" s="9"/>
      <c r="K45" s="9"/>
      <c r="L45" s="9"/>
    </row>
    <row r="46" spans="1:12" ht="12.75">
      <c r="A46" s="146" t="s">
        <v>249</v>
      </c>
      <c r="B46" s="194"/>
      <c r="C46" s="161" t="s">
        <v>310</v>
      </c>
      <c r="D46" s="192"/>
      <c r="E46" s="192"/>
      <c r="F46" s="192"/>
      <c r="G46" s="192"/>
      <c r="H46" s="192"/>
      <c r="I46" s="193"/>
      <c r="J46" s="9"/>
      <c r="K46" s="9"/>
      <c r="L46" s="9"/>
    </row>
    <row r="47" spans="1:12" ht="12.75">
      <c r="A47" s="84"/>
      <c r="B47" s="21"/>
      <c r="C47" s="20" t="s">
        <v>250</v>
      </c>
      <c r="D47" s="15"/>
      <c r="E47" s="15"/>
      <c r="F47" s="15"/>
      <c r="G47" s="15"/>
      <c r="H47" s="15"/>
      <c r="I47" s="85"/>
      <c r="J47" s="9"/>
      <c r="K47" s="9"/>
      <c r="L47" s="9"/>
    </row>
    <row r="48" spans="1:12" ht="12.75">
      <c r="A48" s="146" t="s">
        <v>251</v>
      </c>
      <c r="B48" s="194"/>
      <c r="C48" s="195" t="s">
        <v>311</v>
      </c>
      <c r="D48" s="196"/>
      <c r="E48" s="197"/>
      <c r="F48" s="15"/>
      <c r="G48" s="50" t="s">
        <v>252</v>
      </c>
      <c r="H48" s="195" t="s">
        <v>312</v>
      </c>
      <c r="I48" s="197"/>
      <c r="J48" s="9"/>
      <c r="K48" s="9"/>
      <c r="L48" s="9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9"/>
      <c r="K49" s="9"/>
      <c r="L49" s="9"/>
    </row>
    <row r="50" spans="1:12" ht="12.75">
      <c r="A50" s="146" t="s">
        <v>238</v>
      </c>
      <c r="B50" s="194"/>
      <c r="C50" s="206" t="s">
        <v>323</v>
      </c>
      <c r="D50" s="196"/>
      <c r="E50" s="196"/>
      <c r="F50" s="196"/>
      <c r="G50" s="196"/>
      <c r="H50" s="196"/>
      <c r="I50" s="197"/>
      <c r="J50" s="9"/>
      <c r="K50" s="9"/>
      <c r="L50" s="9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9"/>
      <c r="K51" s="9"/>
      <c r="L51" s="9"/>
    </row>
    <row r="52" spans="1:12" ht="12.75">
      <c r="A52" s="157" t="s">
        <v>253</v>
      </c>
      <c r="B52" s="158"/>
      <c r="C52" s="195" t="s">
        <v>313</v>
      </c>
      <c r="D52" s="196"/>
      <c r="E52" s="196"/>
      <c r="F52" s="196"/>
      <c r="G52" s="196"/>
      <c r="H52" s="196"/>
      <c r="I52" s="163"/>
      <c r="J52" s="9"/>
      <c r="K52" s="9"/>
      <c r="L52" s="9"/>
    </row>
    <row r="53" spans="1:12" ht="12.75">
      <c r="A53" s="98"/>
      <c r="B53" s="19"/>
      <c r="C53" s="200" t="s">
        <v>254</v>
      </c>
      <c r="D53" s="200"/>
      <c r="E53" s="200"/>
      <c r="F53" s="200"/>
      <c r="G53" s="200"/>
      <c r="H53" s="200"/>
      <c r="I53" s="99"/>
      <c r="J53" s="9"/>
      <c r="K53" s="9"/>
      <c r="L53" s="9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9"/>
      <c r="K54" s="9"/>
      <c r="L54" s="9"/>
    </row>
    <row r="55" spans="1:12" ht="12.75">
      <c r="A55" s="98"/>
      <c r="B55" s="207" t="s">
        <v>255</v>
      </c>
      <c r="C55" s="208"/>
      <c r="D55" s="208"/>
      <c r="E55" s="208"/>
      <c r="F55" s="48"/>
      <c r="G55" s="48"/>
      <c r="H55" s="48"/>
      <c r="I55" s="100"/>
      <c r="J55" s="9"/>
      <c r="K55" s="9"/>
      <c r="L55" s="9"/>
    </row>
    <row r="56" spans="1:12" ht="12.75">
      <c r="A56" s="98"/>
      <c r="B56" s="209" t="s">
        <v>285</v>
      </c>
      <c r="C56" s="210"/>
      <c r="D56" s="210"/>
      <c r="E56" s="210"/>
      <c r="F56" s="210"/>
      <c r="G56" s="210"/>
      <c r="H56" s="210"/>
      <c r="I56" s="211"/>
      <c r="J56" s="9"/>
      <c r="K56" s="9"/>
      <c r="L56" s="9"/>
    </row>
    <row r="57" spans="1:12" ht="12.75">
      <c r="A57" s="98"/>
      <c r="B57" s="209" t="s">
        <v>286</v>
      </c>
      <c r="C57" s="210"/>
      <c r="D57" s="210"/>
      <c r="E57" s="210"/>
      <c r="F57" s="210"/>
      <c r="G57" s="210"/>
      <c r="H57" s="210"/>
      <c r="I57" s="100"/>
      <c r="J57" s="9"/>
      <c r="K57" s="9"/>
      <c r="L57" s="9"/>
    </row>
    <row r="58" spans="1:12" ht="12.75">
      <c r="A58" s="98"/>
      <c r="B58" s="209" t="s">
        <v>287</v>
      </c>
      <c r="C58" s="210"/>
      <c r="D58" s="210"/>
      <c r="E58" s="210"/>
      <c r="F58" s="210"/>
      <c r="G58" s="210"/>
      <c r="H58" s="210"/>
      <c r="I58" s="211"/>
      <c r="J58" s="9"/>
      <c r="K58" s="9"/>
      <c r="L58" s="9"/>
    </row>
    <row r="59" spans="1:12" ht="12.75">
      <c r="A59" s="98"/>
      <c r="B59" s="209" t="s">
        <v>288</v>
      </c>
      <c r="C59" s="210"/>
      <c r="D59" s="210"/>
      <c r="E59" s="210"/>
      <c r="F59" s="210"/>
      <c r="G59" s="210"/>
      <c r="H59" s="210"/>
      <c r="I59" s="211"/>
      <c r="J59" s="9"/>
      <c r="K59" s="9"/>
      <c r="L59" s="9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9"/>
      <c r="K60" s="9"/>
      <c r="L60" s="9"/>
    </row>
    <row r="61" spans="1:12" ht="13.5" thickBot="1">
      <c r="A61" s="104" t="s">
        <v>256</v>
      </c>
      <c r="B61" s="15"/>
      <c r="C61" s="15"/>
      <c r="D61" s="15"/>
      <c r="E61" s="15"/>
      <c r="F61" s="15"/>
      <c r="G61" s="36"/>
      <c r="H61" s="37"/>
      <c r="I61" s="105"/>
      <c r="J61" s="9"/>
      <c r="K61" s="9"/>
      <c r="L61" s="9"/>
    </row>
    <row r="62" spans="1:12" ht="12.75">
      <c r="A62" s="80"/>
      <c r="B62" s="15"/>
      <c r="C62" s="15"/>
      <c r="D62" s="15"/>
      <c r="E62" s="19" t="s">
        <v>257</v>
      </c>
      <c r="F62" s="32"/>
      <c r="G62" s="201" t="s">
        <v>258</v>
      </c>
      <c r="H62" s="202"/>
      <c r="I62" s="203"/>
      <c r="J62" s="9"/>
      <c r="K62" s="9"/>
      <c r="L62" s="9"/>
    </row>
    <row r="63" spans="1:12" ht="12.75">
      <c r="A63" s="106"/>
      <c r="B63" s="107"/>
      <c r="C63" s="108"/>
      <c r="D63" s="108"/>
      <c r="E63" s="108"/>
      <c r="F63" s="108"/>
      <c r="G63" s="204"/>
      <c r="H63" s="205"/>
      <c r="I63" s="109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A26:B26"/>
    <mergeCell ref="G26:H26"/>
    <mergeCell ref="A28:D28"/>
    <mergeCell ref="E28:G28"/>
    <mergeCell ref="H28:I28"/>
    <mergeCell ref="C24:G24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view="pageBreakPreview" zoomScale="110" zoomScaleSheetLayoutView="110" zoomScalePageLayoutView="0" workbookViewId="0" topLeftCell="A1">
      <selection activeCell="K72" sqref="K72"/>
    </sheetView>
  </sheetViews>
  <sheetFormatPr defaultColWidth="9.140625" defaultRowHeight="12.75" outlineLevelRow="1"/>
  <cols>
    <col min="1" max="1" width="9.140625" style="144" customWidth="1"/>
    <col min="2" max="2" width="18.8515625" style="144" customWidth="1"/>
    <col min="3" max="3" width="9.140625" style="144" customWidth="1"/>
    <col min="4" max="4" width="6.140625" style="144" customWidth="1"/>
    <col min="5" max="5" width="9.140625" style="144" customWidth="1"/>
    <col min="6" max="6" width="4.140625" style="144" customWidth="1"/>
    <col min="7" max="7" width="11.7109375" style="144" customWidth="1"/>
    <col min="8" max="8" width="4.57421875" style="144" customWidth="1"/>
    <col min="9" max="9" width="9.28125" style="144" customWidth="1"/>
    <col min="10" max="11" width="12.7109375" style="144" bestFit="1" customWidth="1"/>
    <col min="12" max="12" width="9.140625" style="51" customWidth="1"/>
    <col min="13" max="13" width="10.28125" style="51" bestFit="1" customWidth="1"/>
    <col min="14" max="16384" width="9.140625" style="51" customWidth="1"/>
  </cols>
  <sheetData>
    <row r="1" spans="1:11" ht="16.5" customHeight="1">
      <c r="A1" s="250" t="s">
        <v>147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</row>
    <row r="2" spans="1:11" ht="12.75" customHeight="1">
      <c r="A2" s="253" t="s">
        <v>346</v>
      </c>
      <c r="B2" s="254"/>
      <c r="C2" s="254"/>
      <c r="D2" s="254"/>
      <c r="E2" s="254"/>
      <c r="F2" s="254"/>
      <c r="G2" s="254"/>
      <c r="H2" s="254"/>
      <c r="I2" s="254"/>
      <c r="J2" s="254"/>
      <c r="K2" s="255"/>
    </row>
    <row r="3" spans="1:11" ht="12.75">
      <c r="A3" s="256" t="s">
        <v>324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4">
      <c r="A4" s="259" t="s">
        <v>53</v>
      </c>
      <c r="B4" s="260"/>
      <c r="C4" s="260"/>
      <c r="D4" s="260"/>
      <c r="E4" s="260"/>
      <c r="F4" s="260"/>
      <c r="G4" s="260"/>
      <c r="H4" s="261"/>
      <c r="I4" s="133" t="s">
        <v>328</v>
      </c>
      <c r="J4" s="134" t="s">
        <v>297</v>
      </c>
      <c r="K4" s="133" t="s">
        <v>298</v>
      </c>
    </row>
    <row r="5" spans="1:11" s="122" customFormat="1" ht="12">
      <c r="A5" s="246">
        <v>1</v>
      </c>
      <c r="B5" s="246"/>
      <c r="C5" s="246"/>
      <c r="D5" s="246"/>
      <c r="E5" s="246"/>
      <c r="F5" s="246"/>
      <c r="G5" s="246"/>
      <c r="H5" s="246"/>
      <c r="I5" s="136">
        <v>2</v>
      </c>
      <c r="J5" s="135">
        <v>3</v>
      </c>
      <c r="K5" s="135">
        <v>4</v>
      </c>
    </row>
    <row r="6" spans="1:11" ht="12.75" outlineLevel="1">
      <c r="A6" s="247" t="s">
        <v>316</v>
      </c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 outlineLevel="1">
      <c r="A7" s="221" t="s">
        <v>54</v>
      </c>
      <c r="B7" s="222"/>
      <c r="C7" s="222"/>
      <c r="D7" s="222"/>
      <c r="E7" s="222"/>
      <c r="F7" s="222"/>
      <c r="G7" s="222"/>
      <c r="H7" s="239"/>
      <c r="I7" s="3">
        <v>1</v>
      </c>
      <c r="J7" s="137"/>
      <c r="K7" s="137"/>
    </row>
    <row r="8" spans="1:11" ht="12.75" outlineLevel="1">
      <c r="A8" s="228" t="s">
        <v>349</v>
      </c>
      <c r="B8" s="229"/>
      <c r="C8" s="229"/>
      <c r="D8" s="229"/>
      <c r="E8" s="229"/>
      <c r="F8" s="229"/>
      <c r="G8" s="229"/>
      <c r="H8" s="230"/>
      <c r="I8" s="1">
        <v>2</v>
      </c>
      <c r="J8" s="138">
        <f>J9+J16+J26+J35+J39</f>
        <v>287134391</v>
      </c>
      <c r="K8" s="138">
        <f>K9+K16+K26+K35+K39</f>
        <v>294117446</v>
      </c>
    </row>
    <row r="9" spans="1:11" ht="12.75" outlineLevel="1">
      <c r="A9" s="228" t="s">
        <v>196</v>
      </c>
      <c r="B9" s="229"/>
      <c r="C9" s="229"/>
      <c r="D9" s="229"/>
      <c r="E9" s="229"/>
      <c r="F9" s="229"/>
      <c r="G9" s="229"/>
      <c r="H9" s="230"/>
      <c r="I9" s="1">
        <v>3</v>
      </c>
      <c r="J9" s="138">
        <f>SUM(J10:J15)</f>
        <v>7420109</v>
      </c>
      <c r="K9" s="138">
        <f>SUM(K10:K15)</f>
        <v>8579731</v>
      </c>
    </row>
    <row r="10" spans="1:11" ht="12.75" outlineLevel="1">
      <c r="A10" s="225" t="s">
        <v>106</v>
      </c>
      <c r="B10" s="226"/>
      <c r="C10" s="226"/>
      <c r="D10" s="226"/>
      <c r="E10" s="226"/>
      <c r="F10" s="226"/>
      <c r="G10" s="226"/>
      <c r="H10" s="227"/>
      <c r="I10" s="1">
        <v>4</v>
      </c>
      <c r="J10" s="139"/>
      <c r="K10" s="139"/>
    </row>
    <row r="11" spans="1:11" ht="12.75" outlineLevel="1">
      <c r="A11" s="225" t="s">
        <v>12</v>
      </c>
      <c r="B11" s="226"/>
      <c r="C11" s="226"/>
      <c r="D11" s="226"/>
      <c r="E11" s="226"/>
      <c r="F11" s="226"/>
      <c r="G11" s="226"/>
      <c r="H11" s="227"/>
      <c r="I11" s="1">
        <v>5</v>
      </c>
      <c r="J11" s="139">
        <v>7340645</v>
      </c>
      <c r="K11" s="139">
        <v>8579731</v>
      </c>
    </row>
    <row r="12" spans="1:11" ht="12.75" outlineLevel="1">
      <c r="A12" s="225" t="s">
        <v>107</v>
      </c>
      <c r="B12" s="226"/>
      <c r="C12" s="226"/>
      <c r="D12" s="226"/>
      <c r="E12" s="226"/>
      <c r="F12" s="226"/>
      <c r="G12" s="226"/>
      <c r="H12" s="227"/>
      <c r="I12" s="1">
        <v>6</v>
      </c>
      <c r="J12" s="139"/>
      <c r="K12" s="139"/>
    </row>
    <row r="13" spans="1:11" ht="12.75" outlineLevel="1">
      <c r="A13" s="225" t="s">
        <v>199</v>
      </c>
      <c r="B13" s="226"/>
      <c r="C13" s="226"/>
      <c r="D13" s="226"/>
      <c r="E13" s="226"/>
      <c r="F13" s="226"/>
      <c r="G13" s="226"/>
      <c r="H13" s="227"/>
      <c r="I13" s="1">
        <v>7</v>
      </c>
      <c r="J13" s="139"/>
      <c r="K13" s="139"/>
    </row>
    <row r="14" spans="1:11" ht="12.75" outlineLevel="1">
      <c r="A14" s="225" t="s">
        <v>200</v>
      </c>
      <c r="B14" s="226"/>
      <c r="C14" s="226"/>
      <c r="D14" s="226"/>
      <c r="E14" s="226"/>
      <c r="F14" s="226"/>
      <c r="G14" s="226"/>
      <c r="H14" s="227"/>
      <c r="I14" s="1">
        <v>8</v>
      </c>
      <c r="J14" s="139">
        <v>79464</v>
      </c>
      <c r="K14" s="139">
        <v>0</v>
      </c>
    </row>
    <row r="15" spans="1:11" ht="12.75" outlineLevel="1">
      <c r="A15" s="225" t="s">
        <v>201</v>
      </c>
      <c r="B15" s="226"/>
      <c r="C15" s="226"/>
      <c r="D15" s="226"/>
      <c r="E15" s="226"/>
      <c r="F15" s="226"/>
      <c r="G15" s="226"/>
      <c r="H15" s="227"/>
      <c r="I15" s="1">
        <v>9</v>
      </c>
      <c r="J15" s="139"/>
      <c r="K15" s="139"/>
    </row>
    <row r="16" spans="1:11" ht="12.75" outlineLevel="1">
      <c r="A16" s="228" t="s">
        <v>197</v>
      </c>
      <c r="B16" s="229"/>
      <c r="C16" s="229"/>
      <c r="D16" s="229"/>
      <c r="E16" s="229"/>
      <c r="F16" s="229"/>
      <c r="G16" s="229"/>
      <c r="H16" s="230"/>
      <c r="I16" s="1">
        <v>10</v>
      </c>
      <c r="J16" s="138">
        <f>SUM(J17:J25)</f>
        <v>270293720</v>
      </c>
      <c r="K16" s="138">
        <f>SUM(K17:K25)</f>
        <v>276426269</v>
      </c>
    </row>
    <row r="17" spans="1:11" ht="12.75" outlineLevel="1">
      <c r="A17" s="225" t="s">
        <v>202</v>
      </c>
      <c r="B17" s="226"/>
      <c r="C17" s="226"/>
      <c r="D17" s="226"/>
      <c r="E17" s="226"/>
      <c r="F17" s="226"/>
      <c r="G17" s="226"/>
      <c r="H17" s="227"/>
      <c r="I17" s="1">
        <v>11</v>
      </c>
      <c r="J17" s="139">
        <v>5545687</v>
      </c>
      <c r="K17" s="139">
        <v>5545687</v>
      </c>
    </row>
    <row r="18" spans="1:11" ht="12.75" outlineLevel="1">
      <c r="A18" s="225" t="s">
        <v>228</v>
      </c>
      <c r="B18" s="226"/>
      <c r="C18" s="226"/>
      <c r="D18" s="226"/>
      <c r="E18" s="226"/>
      <c r="F18" s="226"/>
      <c r="G18" s="226"/>
      <c r="H18" s="227"/>
      <c r="I18" s="1">
        <v>12</v>
      </c>
      <c r="J18" s="139">
        <v>4755806</v>
      </c>
      <c r="K18" s="139">
        <v>4498582</v>
      </c>
    </row>
    <row r="19" spans="1:11" ht="12.75" outlineLevel="1">
      <c r="A19" s="225" t="s">
        <v>203</v>
      </c>
      <c r="B19" s="226"/>
      <c r="C19" s="226"/>
      <c r="D19" s="226"/>
      <c r="E19" s="226"/>
      <c r="F19" s="226"/>
      <c r="G19" s="226"/>
      <c r="H19" s="227"/>
      <c r="I19" s="1">
        <v>13</v>
      </c>
      <c r="J19" s="139">
        <v>245082712</v>
      </c>
      <c r="K19" s="139">
        <v>259188480</v>
      </c>
    </row>
    <row r="20" spans="1:11" ht="12.75" outlineLevel="1">
      <c r="A20" s="225" t="s">
        <v>21</v>
      </c>
      <c r="B20" s="226"/>
      <c r="C20" s="226"/>
      <c r="D20" s="226"/>
      <c r="E20" s="226"/>
      <c r="F20" s="226"/>
      <c r="G20" s="226"/>
      <c r="H20" s="227"/>
      <c r="I20" s="1">
        <v>14</v>
      </c>
      <c r="J20" s="139">
        <v>6090501</v>
      </c>
      <c r="K20" s="139">
        <v>6383065</v>
      </c>
    </row>
    <row r="21" spans="1:11" ht="12.75" outlineLevel="1">
      <c r="A21" s="225" t="s">
        <v>22</v>
      </c>
      <c r="B21" s="226"/>
      <c r="C21" s="226"/>
      <c r="D21" s="226"/>
      <c r="E21" s="226"/>
      <c r="F21" s="226"/>
      <c r="G21" s="226"/>
      <c r="H21" s="227"/>
      <c r="I21" s="1">
        <v>15</v>
      </c>
      <c r="J21" s="139"/>
      <c r="K21" s="139"/>
    </row>
    <row r="22" spans="1:11" ht="12.75" outlineLevel="1">
      <c r="A22" s="225" t="s">
        <v>66</v>
      </c>
      <c r="B22" s="226"/>
      <c r="C22" s="226"/>
      <c r="D22" s="226"/>
      <c r="E22" s="226"/>
      <c r="F22" s="226"/>
      <c r="G22" s="226"/>
      <c r="H22" s="227"/>
      <c r="I22" s="1">
        <v>16</v>
      </c>
      <c r="J22" s="139">
        <v>1471486</v>
      </c>
      <c r="K22" s="139">
        <v>67926</v>
      </c>
    </row>
    <row r="23" spans="1:11" ht="12.75" outlineLevel="1">
      <c r="A23" s="225" t="s">
        <v>67</v>
      </c>
      <c r="B23" s="226"/>
      <c r="C23" s="226"/>
      <c r="D23" s="226"/>
      <c r="E23" s="226"/>
      <c r="F23" s="226"/>
      <c r="G23" s="226"/>
      <c r="H23" s="227"/>
      <c r="I23" s="1">
        <v>17</v>
      </c>
      <c r="J23" s="139">
        <v>7347528</v>
      </c>
      <c r="K23" s="139">
        <v>742529</v>
      </c>
    </row>
    <row r="24" spans="1:11" ht="12.75" outlineLevel="1">
      <c r="A24" s="225" t="s">
        <v>68</v>
      </c>
      <c r="B24" s="226"/>
      <c r="C24" s="226"/>
      <c r="D24" s="226"/>
      <c r="E24" s="226"/>
      <c r="F24" s="226"/>
      <c r="G24" s="226"/>
      <c r="H24" s="227"/>
      <c r="I24" s="1">
        <v>18</v>
      </c>
      <c r="J24" s="139"/>
      <c r="K24" s="139"/>
    </row>
    <row r="25" spans="1:11" ht="12.75" outlineLevel="1">
      <c r="A25" s="225" t="s">
        <v>69</v>
      </c>
      <c r="B25" s="226"/>
      <c r="C25" s="226"/>
      <c r="D25" s="226"/>
      <c r="E25" s="226"/>
      <c r="F25" s="226"/>
      <c r="G25" s="226"/>
      <c r="H25" s="227"/>
      <c r="I25" s="1">
        <v>19</v>
      </c>
      <c r="J25" s="139"/>
      <c r="K25" s="139"/>
    </row>
    <row r="26" spans="1:11" ht="12.75" outlineLevel="1">
      <c r="A26" s="228" t="s">
        <v>183</v>
      </c>
      <c r="B26" s="229"/>
      <c r="C26" s="229"/>
      <c r="D26" s="229"/>
      <c r="E26" s="229"/>
      <c r="F26" s="229"/>
      <c r="G26" s="229"/>
      <c r="H26" s="230"/>
      <c r="I26" s="1">
        <v>20</v>
      </c>
      <c r="J26" s="138">
        <f>SUM(J27:J34)</f>
        <v>9381452</v>
      </c>
      <c r="K26" s="138">
        <f>SUM(K27:K34)</f>
        <v>9022927</v>
      </c>
    </row>
    <row r="27" spans="1:11" ht="12.75" outlineLevel="1">
      <c r="A27" s="225" t="s">
        <v>70</v>
      </c>
      <c r="B27" s="226"/>
      <c r="C27" s="226"/>
      <c r="D27" s="226"/>
      <c r="E27" s="226"/>
      <c r="F27" s="226"/>
      <c r="G27" s="226"/>
      <c r="H27" s="227"/>
      <c r="I27" s="1">
        <v>21</v>
      </c>
      <c r="J27" s="139">
        <v>0</v>
      </c>
      <c r="K27" s="139">
        <v>0</v>
      </c>
    </row>
    <row r="28" spans="1:11" ht="12.75" outlineLevel="1">
      <c r="A28" s="225" t="s">
        <v>71</v>
      </c>
      <c r="B28" s="226"/>
      <c r="C28" s="226"/>
      <c r="D28" s="226"/>
      <c r="E28" s="226"/>
      <c r="F28" s="226"/>
      <c r="G28" s="226"/>
      <c r="H28" s="227"/>
      <c r="I28" s="1">
        <v>22</v>
      </c>
      <c r="J28" s="139"/>
      <c r="K28" s="139"/>
    </row>
    <row r="29" spans="1:11" ht="12.75" outlineLevel="1">
      <c r="A29" s="225" t="s">
        <v>72</v>
      </c>
      <c r="B29" s="226"/>
      <c r="C29" s="226"/>
      <c r="D29" s="226"/>
      <c r="E29" s="226"/>
      <c r="F29" s="226"/>
      <c r="G29" s="226"/>
      <c r="H29" s="227"/>
      <c r="I29" s="1">
        <v>23</v>
      </c>
      <c r="J29" s="139">
        <v>845605</v>
      </c>
      <c r="K29" s="139">
        <v>535812</v>
      </c>
    </row>
    <row r="30" spans="1:11" ht="12.75" outlineLevel="1">
      <c r="A30" s="225" t="s">
        <v>77</v>
      </c>
      <c r="B30" s="226"/>
      <c r="C30" s="226"/>
      <c r="D30" s="226"/>
      <c r="E30" s="226"/>
      <c r="F30" s="226"/>
      <c r="G30" s="226"/>
      <c r="H30" s="227"/>
      <c r="I30" s="1">
        <v>24</v>
      </c>
      <c r="J30" s="139"/>
      <c r="K30" s="139"/>
    </row>
    <row r="31" spans="1:11" ht="12.75" outlineLevel="1">
      <c r="A31" s="225" t="s">
        <v>78</v>
      </c>
      <c r="B31" s="226"/>
      <c r="C31" s="226"/>
      <c r="D31" s="226"/>
      <c r="E31" s="226"/>
      <c r="F31" s="226"/>
      <c r="G31" s="226"/>
      <c r="H31" s="227"/>
      <c r="I31" s="1">
        <v>25</v>
      </c>
      <c r="J31" s="139"/>
      <c r="K31" s="139"/>
    </row>
    <row r="32" spans="1:11" ht="12.75" outlineLevel="1">
      <c r="A32" s="225" t="s">
        <v>79</v>
      </c>
      <c r="B32" s="226"/>
      <c r="C32" s="226"/>
      <c r="D32" s="226"/>
      <c r="E32" s="226"/>
      <c r="F32" s="226"/>
      <c r="G32" s="226"/>
      <c r="H32" s="227"/>
      <c r="I32" s="1">
        <v>26</v>
      </c>
      <c r="J32" s="139">
        <v>8313565</v>
      </c>
      <c r="K32" s="139">
        <v>8265013</v>
      </c>
    </row>
    <row r="33" spans="1:11" ht="12.75" outlineLevel="1">
      <c r="A33" s="225" t="s">
        <v>73</v>
      </c>
      <c r="B33" s="226"/>
      <c r="C33" s="226"/>
      <c r="D33" s="226"/>
      <c r="E33" s="226"/>
      <c r="F33" s="226"/>
      <c r="G33" s="226"/>
      <c r="H33" s="227"/>
      <c r="I33" s="1">
        <v>27</v>
      </c>
      <c r="J33" s="139">
        <v>222282</v>
      </c>
      <c r="K33" s="139">
        <v>222102</v>
      </c>
    </row>
    <row r="34" spans="1:11" ht="12.75" outlineLevel="1">
      <c r="A34" s="225" t="s">
        <v>176</v>
      </c>
      <c r="B34" s="226"/>
      <c r="C34" s="226"/>
      <c r="D34" s="226"/>
      <c r="E34" s="226"/>
      <c r="F34" s="226"/>
      <c r="G34" s="226"/>
      <c r="H34" s="227"/>
      <c r="I34" s="1">
        <v>28</v>
      </c>
      <c r="J34" s="139"/>
      <c r="K34" s="139"/>
    </row>
    <row r="35" spans="1:11" ht="12.75" outlineLevel="1">
      <c r="A35" s="228" t="s">
        <v>177</v>
      </c>
      <c r="B35" s="229"/>
      <c r="C35" s="229"/>
      <c r="D35" s="229"/>
      <c r="E35" s="229"/>
      <c r="F35" s="229"/>
      <c r="G35" s="229"/>
      <c r="H35" s="230"/>
      <c r="I35" s="1">
        <v>29</v>
      </c>
      <c r="J35" s="140">
        <f>SUM(J36:J38)</f>
        <v>0</v>
      </c>
      <c r="K35" s="140">
        <f>SUM(K36:K38)</f>
        <v>0</v>
      </c>
    </row>
    <row r="36" spans="1:11" ht="12.75" outlineLevel="1">
      <c r="A36" s="225" t="s">
        <v>74</v>
      </c>
      <c r="B36" s="226"/>
      <c r="C36" s="226"/>
      <c r="D36" s="226"/>
      <c r="E36" s="226"/>
      <c r="F36" s="226"/>
      <c r="G36" s="226"/>
      <c r="H36" s="227"/>
      <c r="I36" s="1">
        <v>30</v>
      </c>
      <c r="J36" s="139"/>
      <c r="K36" s="139"/>
    </row>
    <row r="37" spans="1:11" ht="12.75" outlineLevel="1">
      <c r="A37" s="225" t="s">
        <v>75</v>
      </c>
      <c r="B37" s="226"/>
      <c r="C37" s="226"/>
      <c r="D37" s="226"/>
      <c r="E37" s="226"/>
      <c r="F37" s="226"/>
      <c r="G37" s="226"/>
      <c r="H37" s="227"/>
      <c r="I37" s="1">
        <v>31</v>
      </c>
      <c r="J37" s="139"/>
      <c r="K37" s="139"/>
    </row>
    <row r="38" spans="1:11" ht="12.75" outlineLevel="1">
      <c r="A38" s="225" t="s">
        <v>76</v>
      </c>
      <c r="B38" s="226"/>
      <c r="C38" s="226"/>
      <c r="D38" s="226"/>
      <c r="E38" s="226"/>
      <c r="F38" s="226"/>
      <c r="G38" s="226"/>
      <c r="H38" s="227"/>
      <c r="I38" s="1">
        <v>32</v>
      </c>
      <c r="J38" s="139"/>
      <c r="K38" s="139"/>
    </row>
    <row r="39" spans="1:11" ht="12.75" outlineLevel="1">
      <c r="A39" s="228" t="s">
        <v>178</v>
      </c>
      <c r="B39" s="229"/>
      <c r="C39" s="229"/>
      <c r="D39" s="229"/>
      <c r="E39" s="229"/>
      <c r="F39" s="229"/>
      <c r="G39" s="229"/>
      <c r="H39" s="230"/>
      <c r="I39" s="1">
        <v>33</v>
      </c>
      <c r="J39" s="139">
        <v>39110</v>
      </c>
      <c r="K39" s="139">
        <v>88519</v>
      </c>
    </row>
    <row r="40" spans="1:11" ht="12.75" outlineLevel="1">
      <c r="A40" s="228" t="s">
        <v>350</v>
      </c>
      <c r="B40" s="229"/>
      <c r="C40" s="229"/>
      <c r="D40" s="229"/>
      <c r="E40" s="229"/>
      <c r="F40" s="229"/>
      <c r="G40" s="229"/>
      <c r="H40" s="230"/>
      <c r="I40" s="1">
        <v>34</v>
      </c>
      <c r="J40" s="138">
        <f>J41+J49+J56+J64</f>
        <v>119743132</v>
      </c>
      <c r="K40" s="138">
        <f>K41+K49+K56+K64</f>
        <v>107075734</v>
      </c>
    </row>
    <row r="41" spans="1:11" ht="12.75" outlineLevel="1">
      <c r="A41" s="228" t="s">
        <v>94</v>
      </c>
      <c r="B41" s="229"/>
      <c r="C41" s="229"/>
      <c r="D41" s="229"/>
      <c r="E41" s="229"/>
      <c r="F41" s="229"/>
      <c r="G41" s="229"/>
      <c r="H41" s="230"/>
      <c r="I41" s="1">
        <v>35</v>
      </c>
      <c r="J41" s="138">
        <f>SUM(J42:J48)</f>
        <v>27704977</v>
      </c>
      <c r="K41" s="138">
        <f>SUM(K42:K48)</f>
        <v>19054653</v>
      </c>
    </row>
    <row r="42" spans="1:11" ht="12.75" outlineLevel="1">
      <c r="A42" s="225" t="s">
        <v>111</v>
      </c>
      <c r="B42" s="226"/>
      <c r="C42" s="226"/>
      <c r="D42" s="226"/>
      <c r="E42" s="226"/>
      <c r="F42" s="226"/>
      <c r="G42" s="226"/>
      <c r="H42" s="227"/>
      <c r="I42" s="1">
        <v>36</v>
      </c>
      <c r="J42" s="139">
        <v>21286837</v>
      </c>
      <c r="K42" s="139">
        <v>16004489</v>
      </c>
    </row>
    <row r="43" spans="1:11" ht="12.75" outlineLevel="1">
      <c r="A43" s="225" t="s">
        <v>112</v>
      </c>
      <c r="B43" s="226"/>
      <c r="C43" s="226"/>
      <c r="D43" s="226"/>
      <c r="E43" s="226"/>
      <c r="F43" s="226"/>
      <c r="G43" s="226"/>
      <c r="H43" s="227"/>
      <c r="I43" s="1">
        <v>37</v>
      </c>
      <c r="J43" s="139">
        <v>6418140</v>
      </c>
      <c r="K43" s="139">
        <v>3050164</v>
      </c>
    </row>
    <row r="44" spans="1:11" ht="12.75" outlineLevel="1">
      <c r="A44" s="225" t="s">
        <v>80</v>
      </c>
      <c r="B44" s="226"/>
      <c r="C44" s="226"/>
      <c r="D44" s="226"/>
      <c r="E44" s="226"/>
      <c r="F44" s="226"/>
      <c r="G44" s="226"/>
      <c r="H44" s="227"/>
      <c r="I44" s="1">
        <v>38</v>
      </c>
      <c r="J44" s="139"/>
      <c r="K44" s="139"/>
    </row>
    <row r="45" spans="1:11" ht="12.75" outlineLevel="1">
      <c r="A45" s="225" t="s">
        <v>81</v>
      </c>
      <c r="B45" s="226"/>
      <c r="C45" s="226"/>
      <c r="D45" s="226"/>
      <c r="E45" s="226"/>
      <c r="F45" s="226"/>
      <c r="G45" s="226"/>
      <c r="H45" s="227"/>
      <c r="I45" s="1">
        <v>39</v>
      </c>
      <c r="J45" s="139"/>
      <c r="K45" s="139"/>
    </row>
    <row r="46" spans="1:11" ht="12.75" outlineLevel="1">
      <c r="A46" s="225" t="s">
        <v>82</v>
      </c>
      <c r="B46" s="226"/>
      <c r="C46" s="226"/>
      <c r="D46" s="226"/>
      <c r="E46" s="226"/>
      <c r="F46" s="226"/>
      <c r="G46" s="226"/>
      <c r="H46" s="227"/>
      <c r="I46" s="1">
        <v>40</v>
      </c>
      <c r="J46" s="139"/>
      <c r="K46" s="139"/>
    </row>
    <row r="47" spans="1:11" ht="12.75" outlineLevel="1">
      <c r="A47" s="225" t="s">
        <v>83</v>
      </c>
      <c r="B47" s="226"/>
      <c r="C47" s="226"/>
      <c r="D47" s="226"/>
      <c r="E47" s="226"/>
      <c r="F47" s="226"/>
      <c r="G47" s="226"/>
      <c r="H47" s="227"/>
      <c r="I47" s="1">
        <v>41</v>
      </c>
      <c r="J47" s="139"/>
      <c r="K47" s="139"/>
    </row>
    <row r="48" spans="1:11" ht="12.75" outlineLevel="1">
      <c r="A48" s="225" t="s">
        <v>84</v>
      </c>
      <c r="B48" s="226"/>
      <c r="C48" s="226"/>
      <c r="D48" s="226"/>
      <c r="E48" s="226"/>
      <c r="F48" s="226"/>
      <c r="G48" s="226"/>
      <c r="H48" s="227"/>
      <c r="I48" s="1">
        <v>42</v>
      </c>
      <c r="J48" s="139"/>
      <c r="K48" s="139"/>
    </row>
    <row r="49" spans="1:11" ht="12.75" outlineLevel="1">
      <c r="A49" s="228" t="s">
        <v>95</v>
      </c>
      <c r="B49" s="229"/>
      <c r="C49" s="229"/>
      <c r="D49" s="229"/>
      <c r="E49" s="229"/>
      <c r="F49" s="229"/>
      <c r="G49" s="229"/>
      <c r="H49" s="230"/>
      <c r="I49" s="1">
        <v>43</v>
      </c>
      <c r="J49" s="138">
        <f>SUM(J50:J55)</f>
        <v>81038088</v>
      </c>
      <c r="K49" s="138">
        <f>SUM(K50:K55)</f>
        <v>54970049</v>
      </c>
    </row>
    <row r="50" spans="1:11" ht="12.75" outlineLevel="1">
      <c r="A50" s="225" t="s">
        <v>191</v>
      </c>
      <c r="B50" s="226"/>
      <c r="C50" s="226"/>
      <c r="D50" s="226"/>
      <c r="E50" s="226"/>
      <c r="F50" s="226"/>
      <c r="G50" s="226"/>
      <c r="H50" s="227"/>
      <c r="I50" s="1">
        <v>44</v>
      </c>
      <c r="J50" s="139"/>
      <c r="K50" s="139"/>
    </row>
    <row r="51" spans="1:11" ht="12.75" outlineLevel="1">
      <c r="A51" s="225" t="s">
        <v>192</v>
      </c>
      <c r="B51" s="226"/>
      <c r="C51" s="226"/>
      <c r="D51" s="226"/>
      <c r="E51" s="226"/>
      <c r="F51" s="226"/>
      <c r="G51" s="226"/>
      <c r="H51" s="227"/>
      <c r="I51" s="1">
        <v>45</v>
      </c>
      <c r="J51" s="139">
        <v>44703374</v>
      </c>
      <c r="K51" s="139">
        <v>47730681</v>
      </c>
    </row>
    <row r="52" spans="1:11" ht="12.75" outlineLevel="1">
      <c r="A52" s="225" t="s">
        <v>193</v>
      </c>
      <c r="B52" s="226"/>
      <c r="C52" s="226"/>
      <c r="D52" s="226"/>
      <c r="E52" s="226"/>
      <c r="F52" s="226"/>
      <c r="G52" s="226"/>
      <c r="H52" s="227"/>
      <c r="I52" s="1">
        <v>46</v>
      </c>
      <c r="J52" s="139">
        <v>1764720</v>
      </c>
      <c r="K52" s="139">
        <v>161846</v>
      </c>
    </row>
    <row r="53" spans="1:11" ht="12.75" outlineLevel="1">
      <c r="A53" s="225" t="s">
        <v>194</v>
      </c>
      <c r="B53" s="226"/>
      <c r="C53" s="226"/>
      <c r="D53" s="226"/>
      <c r="E53" s="226"/>
      <c r="F53" s="226"/>
      <c r="G53" s="226"/>
      <c r="H53" s="227"/>
      <c r="I53" s="1">
        <v>47</v>
      </c>
      <c r="J53" s="139">
        <v>37799</v>
      </c>
      <c r="K53" s="139">
        <v>12546</v>
      </c>
    </row>
    <row r="54" spans="1:11" ht="12.75" outlineLevel="1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139">
        <v>13140282</v>
      </c>
      <c r="K54" s="139">
        <v>6539958</v>
      </c>
    </row>
    <row r="55" spans="1:11" ht="12.75" outlineLevel="1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139">
        <v>21391913</v>
      </c>
      <c r="K55" s="139">
        <v>525018</v>
      </c>
    </row>
    <row r="56" spans="1:11" ht="12.75" outlineLevel="1">
      <c r="A56" s="228" t="s">
        <v>96</v>
      </c>
      <c r="B56" s="229"/>
      <c r="C56" s="229"/>
      <c r="D56" s="229"/>
      <c r="E56" s="229"/>
      <c r="F56" s="229"/>
      <c r="G56" s="229"/>
      <c r="H56" s="230"/>
      <c r="I56" s="1">
        <v>50</v>
      </c>
      <c r="J56" s="138">
        <f>SUM(J57:J63)</f>
        <v>4141523</v>
      </c>
      <c r="K56" s="138">
        <f>SUM(K57:K63)</f>
        <v>18419731</v>
      </c>
    </row>
    <row r="57" spans="1:11" ht="12.75" outlineLevel="1">
      <c r="A57" s="225" t="s">
        <v>70</v>
      </c>
      <c r="B57" s="226"/>
      <c r="C57" s="226"/>
      <c r="D57" s="226"/>
      <c r="E57" s="226"/>
      <c r="F57" s="226"/>
      <c r="G57" s="226"/>
      <c r="H57" s="227"/>
      <c r="I57" s="1">
        <v>51</v>
      </c>
      <c r="J57" s="139"/>
      <c r="K57" s="139"/>
    </row>
    <row r="58" spans="1:11" ht="12.75" outlineLevel="1">
      <c r="A58" s="225" t="s">
        <v>71</v>
      </c>
      <c r="B58" s="226"/>
      <c r="C58" s="226"/>
      <c r="D58" s="226"/>
      <c r="E58" s="226"/>
      <c r="F58" s="226"/>
      <c r="G58" s="226"/>
      <c r="H58" s="227"/>
      <c r="I58" s="1">
        <v>52</v>
      </c>
      <c r="J58" s="139"/>
      <c r="K58" s="139"/>
    </row>
    <row r="59" spans="1:11" ht="12.75" outlineLevel="1">
      <c r="A59" s="225" t="s">
        <v>223</v>
      </c>
      <c r="B59" s="226"/>
      <c r="C59" s="226"/>
      <c r="D59" s="226"/>
      <c r="E59" s="226"/>
      <c r="F59" s="226"/>
      <c r="G59" s="226"/>
      <c r="H59" s="227"/>
      <c r="I59" s="1">
        <v>53</v>
      </c>
      <c r="J59" s="139"/>
      <c r="K59" s="139"/>
    </row>
    <row r="60" spans="1:11" ht="12.75" outlineLevel="1">
      <c r="A60" s="225" t="s">
        <v>77</v>
      </c>
      <c r="B60" s="226"/>
      <c r="C60" s="226"/>
      <c r="D60" s="226"/>
      <c r="E60" s="226"/>
      <c r="F60" s="226"/>
      <c r="G60" s="226"/>
      <c r="H60" s="227"/>
      <c r="I60" s="1">
        <v>54</v>
      </c>
      <c r="J60" s="139"/>
      <c r="K60" s="139"/>
    </row>
    <row r="61" spans="1:11" ht="12.75" outlineLevel="1">
      <c r="A61" s="225" t="s">
        <v>78</v>
      </c>
      <c r="B61" s="226"/>
      <c r="C61" s="226"/>
      <c r="D61" s="226"/>
      <c r="E61" s="226"/>
      <c r="F61" s="226"/>
      <c r="G61" s="226"/>
      <c r="H61" s="227"/>
      <c r="I61" s="1">
        <v>55</v>
      </c>
      <c r="J61" s="139"/>
      <c r="K61" s="139"/>
    </row>
    <row r="62" spans="1:11" ht="12.75" outlineLevel="1">
      <c r="A62" s="225" t="s">
        <v>79</v>
      </c>
      <c r="B62" s="226"/>
      <c r="C62" s="226"/>
      <c r="D62" s="226"/>
      <c r="E62" s="226"/>
      <c r="F62" s="226"/>
      <c r="G62" s="226"/>
      <c r="H62" s="227"/>
      <c r="I62" s="1">
        <v>56</v>
      </c>
      <c r="J62" s="139">
        <v>4141523</v>
      </c>
      <c r="K62" s="139">
        <v>18419731</v>
      </c>
    </row>
    <row r="63" spans="1:11" ht="12.75" outlineLevel="1">
      <c r="A63" s="225" t="s">
        <v>40</v>
      </c>
      <c r="B63" s="226"/>
      <c r="C63" s="226"/>
      <c r="D63" s="226"/>
      <c r="E63" s="226"/>
      <c r="F63" s="226"/>
      <c r="G63" s="226"/>
      <c r="H63" s="227"/>
      <c r="I63" s="1">
        <v>57</v>
      </c>
      <c r="J63" s="139"/>
      <c r="K63" s="139"/>
    </row>
    <row r="64" spans="1:11" ht="12.75" outlineLevel="1">
      <c r="A64" s="228" t="s">
        <v>198</v>
      </c>
      <c r="B64" s="229"/>
      <c r="C64" s="229"/>
      <c r="D64" s="229"/>
      <c r="E64" s="229"/>
      <c r="F64" s="229"/>
      <c r="G64" s="229"/>
      <c r="H64" s="230"/>
      <c r="I64" s="1">
        <v>58</v>
      </c>
      <c r="J64" s="141">
        <f>6844575+13969</f>
        <v>6858544</v>
      </c>
      <c r="K64" s="141">
        <v>14631301</v>
      </c>
    </row>
    <row r="65" spans="1:11" ht="12.75" outlineLevel="1">
      <c r="A65" s="228" t="s">
        <v>50</v>
      </c>
      <c r="B65" s="229"/>
      <c r="C65" s="229"/>
      <c r="D65" s="229"/>
      <c r="E65" s="229"/>
      <c r="F65" s="229"/>
      <c r="G65" s="229"/>
      <c r="H65" s="230"/>
      <c r="I65" s="1">
        <v>59</v>
      </c>
      <c r="J65" s="139">
        <v>16588713</v>
      </c>
      <c r="K65" s="139">
        <v>3060725</v>
      </c>
    </row>
    <row r="66" spans="1:11" ht="12.75" outlineLevel="1">
      <c r="A66" s="228" t="s">
        <v>351</v>
      </c>
      <c r="B66" s="229"/>
      <c r="C66" s="229"/>
      <c r="D66" s="229"/>
      <c r="E66" s="229"/>
      <c r="F66" s="229"/>
      <c r="G66" s="229"/>
      <c r="H66" s="230"/>
      <c r="I66" s="1">
        <v>60</v>
      </c>
      <c r="J66" s="138">
        <f>J7+J8+J40+J65</f>
        <v>423466236</v>
      </c>
      <c r="K66" s="138">
        <f>K7+K8+K40+K65</f>
        <v>404253905</v>
      </c>
    </row>
    <row r="67" spans="1:11" ht="18.75" customHeight="1" outlineLevel="1">
      <c r="A67" s="240" t="s">
        <v>85</v>
      </c>
      <c r="B67" s="241"/>
      <c r="C67" s="241"/>
      <c r="D67" s="241"/>
      <c r="E67" s="241"/>
      <c r="F67" s="241"/>
      <c r="G67" s="241"/>
      <c r="H67" s="242"/>
      <c r="I67" s="4">
        <v>61</v>
      </c>
      <c r="J67" s="142"/>
      <c r="K67" s="142"/>
    </row>
    <row r="68" spans="1:11" ht="12.75">
      <c r="A68" s="243" t="s">
        <v>52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11" ht="12.75">
      <c r="A69" s="221" t="s">
        <v>314</v>
      </c>
      <c r="B69" s="222"/>
      <c r="C69" s="222"/>
      <c r="D69" s="222"/>
      <c r="E69" s="222"/>
      <c r="F69" s="222"/>
      <c r="G69" s="222"/>
      <c r="H69" s="239"/>
      <c r="I69" s="3">
        <v>62</v>
      </c>
      <c r="J69" s="143">
        <f>J70+J71+J72+J78+J79+J82+J85</f>
        <v>212124192</v>
      </c>
      <c r="K69" s="143">
        <f>K70+K71+K72+K78+K79+K82+K85</f>
        <v>246991924</v>
      </c>
    </row>
    <row r="70" spans="1:11" ht="12.75">
      <c r="A70" s="225" t="s">
        <v>135</v>
      </c>
      <c r="B70" s="226"/>
      <c r="C70" s="226"/>
      <c r="D70" s="226"/>
      <c r="E70" s="226"/>
      <c r="F70" s="226"/>
      <c r="G70" s="226"/>
      <c r="H70" s="227"/>
      <c r="I70" s="1">
        <v>63</v>
      </c>
      <c r="J70" s="139">
        <v>168132470</v>
      </c>
      <c r="K70" s="139">
        <v>168132470</v>
      </c>
    </row>
    <row r="71" spans="1:11" ht="12.75">
      <c r="A71" s="225" t="s">
        <v>136</v>
      </c>
      <c r="B71" s="226"/>
      <c r="C71" s="226"/>
      <c r="D71" s="226"/>
      <c r="E71" s="226"/>
      <c r="F71" s="226"/>
      <c r="G71" s="226"/>
      <c r="H71" s="227"/>
      <c r="I71" s="1">
        <v>64</v>
      </c>
      <c r="J71" s="139"/>
      <c r="K71" s="139"/>
    </row>
    <row r="72" spans="1:11" ht="12.75">
      <c r="A72" s="228" t="s">
        <v>137</v>
      </c>
      <c r="B72" s="229"/>
      <c r="C72" s="229"/>
      <c r="D72" s="229"/>
      <c r="E72" s="229"/>
      <c r="F72" s="229"/>
      <c r="G72" s="229"/>
      <c r="H72" s="230"/>
      <c r="I72" s="1">
        <v>65</v>
      </c>
      <c r="J72" s="138">
        <f>J73+J74-J75+J76+J77</f>
        <v>40148191</v>
      </c>
      <c r="K72" s="138">
        <f>K73+K74-K75+K76+K77</f>
        <v>40162382</v>
      </c>
    </row>
    <row r="73" spans="1:13" ht="12.75">
      <c r="A73" s="225" t="s">
        <v>138</v>
      </c>
      <c r="B73" s="226"/>
      <c r="C73" s="226"/>
      <c r="D73" s="226"/>
      <c r="E73" s="226"/>
      <c r="F73" s="226"/>
      <c r="G73" s="226"/>
      <c r="H73" s="227"/>
      <c r="I73" s="1">
        <v>66</v>
      </c>
      <c r="J73" s="139">
        <v>8406624</v>
      </c>
      <c r="K73" s="139">
        <v>8406624</v>
      </c>
      <c r="M73" s="145"/>
    </row>
    <row r="74" spans="1:11" ht="12.75">
      <c r="A74" s="225" t="s">
        <v>139</v>
      </c>
      <c r="B74" s="226"/>
      <c r="C74" s="226"/>
      <c r="D74" s="226"/>
      <c r="E74" s="226"/>
      <c r="F74" s="226"/>
      <c r="G74" s="226"/>
      <c r="H74" s="227"/>
      <c r="I74" s="1">
        <v>67</v>
      </c>
      <c r="J74" s="139">
        <v>12540000</v>
      </c>
      <c r="K74" s="139">
        <v>12540000</v>
      </c>
    </row>
    <row r="75" spans="1:11" ht="12.75">
      <c r="A75" s="225" t="s">
        <v>127</v>
      </c>
      <c r="B75" s="226"/>
      <c r="C75" s="226"/>
      <c r="D75" s="226"/>
      <c r="E75" s="226"/>
      <c r="F75" s="226"/>
      <c r="G75" s="226"/>
      <c r="H75" s="227"/>
      <c r="I75" s="1">
        <v>68</v>
      </c>
      <c r="J75" s="139">
        <v>8055772</v>
      </c>
      <c r="K75" s="139">
        <v>8055772</v>
      </c>
    </row>
    <row r="76" spans="1:11" ht="12.75">
      <c r="A76" s="225" t="s">
        <v>128</v>
      </c>
      <c r="B76" s="226"/>
      <c r="C76" s="226"/>
      <c r="D76" s="226"/>
      <c r="E76" s="226"/>
      <c r="F76" s="226"/>
      <c r="G76" s="226"/>
      <c r="H76" s="227"/>
      <c r="I76" s="1">
        <v>69</v>
      </c>
      <c r="J76" s="139"/>
      <c r="K76" s="139"/>
    </row>
    <row r="77" spans="1:11" ht="12.75">
      <c r="A77" s="225" t="s">
        <v>129</v>
      </c>
      <c r="B77" s="226"/>
      <c r="C77" s="226"/>
      <c r="D77" s="226"/>
      <c r="E77" s="226"/>
      <c r="F77" s="226"/>
      <c r="G77" s="226"/>
      <c r="H77" s="227"/>
      <c r="I77" s="1">
        <v>70</v>
      </c>
      <c r="J77" s="139">
        <v>27257339</v>
      </c>
      <c r="K77" s="139">
        <f>27271530</f>
        <v>27271530</v>
      </c>
    </row>
    <row r="78" spans="1:11" ht="12.75">
      <c r="A78" s="228" t="s">
        <v>130</v>
      </c>
      <c r="B78" s="229"/>
      <c r="C78" s="229"/>
      <c r="D78" s="229"/>
      <c r="E78" s="229"/>
      <c r="F78" s="229"/>
      <c r="G78" s="229"/>
      <c r="H78" s="230"/>
      <c r="I78" s="1">
        <v>71</v>
      </c>
      <c r="J78" s="141">
        <v>-28768</v>
      </c>
      <c r="K78" s="141">
        <v>-282798</v>
      </c>
    </row>
    <row r="79" spans="1:11" ht="12.75">
      <c r="A79" s="228" t="s">
        <v>221</v>
      </c>
      <c r="B79" s="229"/>
      <c r="C79" s="229"/>
      <c r="D79" s="229"/>
      <c r="E79" s="229"/>
      <c r="F79" s="229"/>
      <c r="G79" s="229"/>
      <c r="H79" s="230"/>
      <c r="I79" s="1">
        <v>72</v>
      </c>
      <c r="J79" s="138">
        <f>J80-J81</f>
        <v>2399476</v>
      </c>
      <c r="K79" s="138">
        <f>K80-K81</f>
        <v>2444748</v>
      </c>
    </row>
    <row r="80" spans="1:11" ht="12.75">
      <c r="A80" s="236" t="s">
        <v>162</v>
      </c>
      <c r="B80" s="237"/>
      <c r="C80" s="237"/>
      <c r="D80" s="237"/>
      <c r="E80" s="237"/>
      <c r="F80" s="237"/>
      <c r="G80" s="237"/>
      <c r="H80" s="238"/>
      <c r="I80" s="1">
        <v>73</v>
      </c>
      <c r="J80" s="139">
        <v>2399476</v>
      </c>
      <c r="K80" s="139">
        <v>2444748</v>
      </c>
    </row>
    <row r="81" spans="1:11" ht="12.75">
      <c r="A81" s="236" t="s">
        <v>163</v>
      </c>
      <c r="B81" s="237"/>
      <c r="C81" s="237"/>
      <c r="D81" s="237"/>
      <c r="E81" s="237"/>
      <c r="F81" s="237"/>
      <c r="G81" s="237"/>
      <c r="H81" s="238"/>
      <c r="I81" s="1">
        <v>74</v>
      </c>
      <c r="J81" s="139"/>
      <c r="K81" s="139"/>
    </row>
    <row r="82" spans="1:11" ht="12.75">
      <c r="A82" s="228" t="s">
        <v>222</v>
      </c>
      <c r="B82" s="229"/>
      <c r="C82" s="229"/>
      <c r="D82" s="229"/>
      <c r="E82" s="229"/>
      <c r="F82" s="229"/>
      <c r="G82" s="229"/>
      <c r="H82" s="230"/>
      <c r="I82" s="1">
        <v>75</v>
      </c>
      <c r="J82" s="138">
        <f>J83-J84</f>
        <v>1472823</v>
      </c>
      <c r="K82" s="138">
        <f>K83-K84</f>
        <v>36530122</v>
      </c>
    </row>
    <row r="83" spans="1:11" ht="12.75">
      <c r="A83" s="236" t="s">
        <v>164</v>
      </c>
      <c r="B83" s="237"/>
      <c r="C83" s="237"/>
      <c r="D83" s="237"/>
      <c r="E83" s="237"/>
      <c r="F83" s="237"/>
      <c r="G83" s="237"/>
      <c r="H83" s="238"/>
      <c r="I83" s="1">
        <v>76</v>
      </c>
      <c r="J83" s="139">
        <v>1472823</v>
      </c>
      <c r="K83" s="139">
        <v>36530122</v>
      </c>
    </row>
    <row r="84" spans="1:11" ht="12.75">
      <c r="A84" s="236" t="s">
        <v>165</v>
      </c>
      <c r="B84" s="237"/>
      <c r="C84" s="237"/>
      <c r="D84" s="237"/>
      <c r="E84" s="237"/>
      <c r="F84" s="237"/>
      <c r="G84" s="237"/>
      <c r="H84" s="238"/>
      <c r="I84" s="1">
        <v>77</v>
      </c>
      <c r="J84" s="139"/>
      <c r="K84" s="139"/>
    </row>
    <row r="85" spans="1:11" ht="12.75">
      <c r="A85" s="228" t="s">
        <v>166</v>
      </c>
      <c r="B85" s="229"/>
      <c r="C85" s="229"/>
      <c r="D85" s="229"/>
      <c r="E85" s="229"/>
      <c r="F85" s="229"/>
      <c r="G85" s="229"/>
      <c r="H85" s="230"/>
      <c r="I85" s="1">
        <v>78</v>
      </c>
      <c r="J85" s="141">
        <v>0</v>
      </c>
      <c r="K85" s="141">
        <v>5000</v>
      </c>
    </row>
    <row r="86" spans="1:11" ht="12.75">
      <c r="A86" s="228" t="s">
        <v>17</v>
      </c>
      <c r="B86" s="229"/>
      <c r="C86" s="229"/>
      <c r="D86" s="229"/>
      <c r="E86" s="229"/>
      <c r="F86" s="229"/>
      <c r="G86" s="229"/>
      <c r="H86" s="230"/>
      <c r="I86" s="1">
        <v>79</v>
      </c>
      <c r="J86" s="138">
        <f>SUM(J87:J89)</f>
        <v>1816573</v>
      </c>
      <c r="K86" s="138">
        <f>SUM(K87:K89)</f>
        <v>3972761</v>
      </c>
    </row>
    <row r="87" spans="1:11" ht="12.75">
      <c r="A87" s="225" t="s">
        <v>123</v>
      </c>
      <c r="B87" s="226"/>
      <c r="C87" s="226"/>
      <c r="D87" s="226"/>
      <c r="E87" s="226"/>
      <c r="F87" s="226"/>
      <c r="G87" s="226"/>
      <c r="H87" s="227"/>
      <c r="I87" s="1">
        <v>80</v>
      </c>
      <c r="J87" s="139">
        <v>995030</v>
      </c>
      <c r="K87" s="139">
        <v>2292120</v>
      </c>
    </row>
    <row r="88" spans="1:11" ht="12.75">
      <c r="A88" s="225" t="s">
        <v>124</v>
      </c>
      <c r="B88" s="226"/>
      <c r="C88" s="226"/>
      <c r="D88" s="226"/>
      <c r="E88" s="226"/>
      <c r="F88" s="226"/>
      <c r="G88" s="226"/>
      <c r="H88" s="227"/>
      <c r="I88" s="1">
        <v>81</v>
      </c>
      <c r="J88" s="139"/>
      <c r="K88" s="139"/>
    </row>
    <row r="89" spans="1:11" ht="12.75">
      <c r="A89" s="225" t="s">
        <v>125</v>
      </c>
      <c r="B89" s="226"/>
      <c r="C89" s="226"/>
      <c r="D89" s="226"/>
      <c r="E89" s="226"/>
      <c r="F89" s="226"/>
      <c r="G89" s="226"/>
      <c r="H89" s="227"/>
      <c r="I89" s="1">
        <v>82</v>
      </c>
      <c r="J89" s="139">
        <f>754774+66769</f>
        <v>821543</v>
      </c>
      <c r="K89" s="139">
        <f>1533909+146732</f>
        <v>1680641</v>
      </c>
    </row>
    <row r="90" spans="1:11" ht="12.75">
      <c r="A90" s="228" t="s">
        <v>18</v>
      </c>
      <c r="B90" s="229"/>
      <c r="C90" s="229"/>
      <c r="D90" s="229"/>
      <c r="E90" s="229"/>
      <c r="F90" s="229"/>
      <c r="G90" s="229"/>
      <c r="H90" s="230"/>
      <c r="I90" s="1">
        <v>83</v>
      </c>
      <c r="J90" s="138">
        <f>SUM(J91:J99)</f>
        <v>71788482</v>
      </c>
      <c r="K90" s="138">
        <f>SUM(K91:K99)</f>
        <v>63841057</v>
      </c>
    </row>
    <row r="91" spans="1:11" ht="12.75">
      <c r="A91" s="225" t="s">
        <v>126</v>
      </c>
      <c r="B91" s="226"/>
      <c r="C91" s="226"/>
      <c r="D91" s="226"/>
      <c r="E91" s="226"/>
      <c r="F91" s="226"/>
      <c r="G91" s="226"/>
      <c r="H91" s="227"/>
      <c r="I91" s="1">
        <v>84</v>
      </c>
      <c r="J91" s="139"/>
      <c r="K91" s="139"/>
    </row>
    <row r="92" spans="1:11" ht="12.75">
      <c r="A92" s="225" t="s">
        <v>224</v>
      </c>
      <c r="B92" s="226"/>
      <c r="C92" s="226"/>
      <c r="D92" s="226"/>
      <c r="E92" s="226"/>
      <c r="F92" s="226"/>
      <c r="G92" s="226"/>
      <c r="H92" s="227"/>
      <c r="I92" s="1">
        <v>85</v>
      </c>
      <c r="J92" s="139"/>
      <c r="K92" s="139"/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139">
        <v>52427610</v>
      </c>
      <c r="K93" s="139">
        <v>46877286</v>
      </c>
    </row>
    <row r="94" spans="1:11" ht="12.75">
      <c r="A94" s="225" t="s">
        <v>225</v>
      </c>
      <c r="B94" s="226"/>
      <c r="C94" s="226"/>
      <c r="D94" s="226"/>
      <c r="E94" s="226"/>
      <c r="F94" s="226"/>
      <c r="G94" s="226"/>
      <c r="H94" s="227"/>
      <c r="I94" s="1">
        <v>87</v>
      </c>
      <c r="J94" s="139"/>
      <c r="K94" s="139"/>
    </row>
    <row r="95" spans="1:11" ht="12.75">
      <c r="A95" s="225" t="s">
        <v>226</v>
      </c>
      <c r="B95" s="226"/>
      <c r="C95" s="226"/>
      <c r="D95" s="226"/>
      <c r="E95" s="226"/>
      <c r="F95" s="226"/>
      <c r="G95" s="226"/>
      <c r="H95" s="227"/>
      <c r="I95" s="1">
        <v>88</v>
      </c>
      <c r="J95" s="139"/>
      <c r="K95" s="139"/>
    </row>
    <row r="96" spans="1:11" ht="12.75">
      <c r="A96" s="225" t="s">
        <v>227</v>
      </c>
      <c r="B96" s="226"/>
      <c r="C96" s="226"/>
      <c r="D96" s="226"/>
      <c r="E96" s="226"/>
      <c r="F96" s="226"/>
      <c r="G96" s="226"/>
      <c r="H96" s="227"/>
      <c r="I96" s="1">
        <v>89</v>
      </c>
      <c r="J96" s="139"/>
      <c r="K96" s="139"/>
    </row>
    <row r="97" spans="1:11" ht="12.75">
      <c r="A97" s="225" t="s">
        <v>88</v>
      </c>
      <c r="B97" s="226"/>
      <c r="C97" s="226"/>
      <c r="D97" s="226"/>
      <c r="E97" s="226"/>
      <c r="F97" s="226"/>
      <c r="G97" s="226"/>
      <c r="H97" s="227"/>
      <c r="I97" s="1">
        <v>90</v>
      </c>
      <c r="J97" s="139"/>
      <c r="K97" s="139"/>
    </row>
    <row r="98" spans="1:11" ht="12.75">
      <c r="A98" s="225" t="s">
        <v>86</v>
      </c>
      <c r="B98" s="226"/>
      <c r="C98" s="226"/>
      <c r="D98" s="226"/>
      <c r="E98" s="226"/>
      <c r="F98" s="226"/>
      <c r="G98" s="226"/>
      <c r="H98" s="227"/>
      <c r="I98" s="1">
        <v>91</v>
      </c>
      <c r="J98" s="139">
        <v>19328954</v>
      </c>
      <c r="K98" s="139">
        <v>16963771</v>
      </c>
    </row>
    <row r="99" spans="1:11" ht="12.75">
      <c r="A99" s="225" t="s">
        <v>87</v>
      </c>
      <c r="B99" s="226"/>
      <c r="C99" s="226"/>
      <c r="D99" s="226"/>
      <c r="E99" s="226"/>
      <c r="F99" s="226"/>
      <c r="G99" s="226"/>
      <c r="H99" s="227"/>
      <c r="I99" s="1">
        <v>92</v>
      </c>
      <c r="J99" s="139">
        <v>31918</v>
      </c>
      <c r="K99" s="139">
        <v>0</v>
      </c>
    </row>
    <row r="100" spans="1:11" ht="12.75">
      <c r="A100" s="228" t="s">
        <v>19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138">
        <f>SUM(J101:J112)</f>
        <v>133365729</v>
      </c>
      <c r="K100" s="138">
        <f>SUM(K101:K112)</f>
        <v>85962690</v>
      </c>
    </row>
    <row r="101" spans="1:11" ht="12.75">
      <c r="A101" s="225" t="s">
        <v>126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139"/>
      <c r="K101" s="139"/>
    </row>
    <row r="102" spans="1:11" ht="12.75">
      <c r="A102" s="225" t="s">
        <v>224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139"/>
      <c r="K102" s="139"/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139">
        <v>46537384</v>
      </c>
      <c r="K103" s="139">
        <v>15551811</v>
      </c>
    </row>
    <row r="104" spans="1:11" ht="12.75">
      <c r="A104" s="225" t="s">
        <v>225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139">
        <v>6478269</v>
      </c>
      <c r="K104" s="139">
        <v>1034635</v>
      </c>
    </row>
    <row r="105" spans="1:11" ht="12.75">
      <c r="A105" s="225" t="s">
        <v>226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139">
        <v>69632004</v>
      </c>
      <c r="K105" s="139">
        <v>49630277</v>
      </c>
    </row>
    <row r="106" spans="1:11" ht="12.75">
      <c r="A106" s="225" t="s">
        <v>227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139"/>
      <c r="K106" s="139"/>
    </row>
    <row r="107" spans="1:11" ht="12.75">
      <c r="A107" s="225" t="s">
        <v>88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139">
        <v>142601</v>
      </c>
      <c r="K107" s="139">
        <v>55890</v>
      </c>
    </row>
    <row r="108" spans="1:11" ht="12.75">
      <c r="A108" s="225" t="s">
        <v>89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139">
        <v>3866045</v>
      </c>
      <c r="K108" s="139">
        <v>4160327</v>
      </c>
    </row>
    <row r="109" spans="1:11" ht="12.75">
      <c r="A109" s="225" t="s">
        <v>90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139">
        <v>2785466</v>
      </c>
      <c r="K109" s="139">
        <v>12042326</v>
      </c>
    </row>
    <row r="110" spans="1:11" ht="12.75">
      <c r="A110" s="225" t="s">
        <v>93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139"/>
      <c r="K110" s="139"/>
    </row>
    <row r="111" spans="1:11" ht="12.75">
      <c r="A111" s="225" t="s">
        <v>91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139"/>
      <c r="K111" s="139"/>
    </row>
    <row r="112" spans="1:11" ht="12.75">
      <c r="A112" s="225" t="s">
        <v>92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139">
        <v>3923960</v>
      </c>
      <c r="K112" s="139">
        <v>3487424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139">
        <v>4371260</v>
      </c>
      <c r="K113" s="139">
        <v>3485473</v>
      </c>
    </row>
    <row r="114" spans="1:11" ht="12.75">
      <c r="A114" s="228" t="s">
        <v>20</v>
      </c>
      <c r="B114" s="229"/>
      <c r="C114" s="229"/>
      <c r="D114" s="229"/>
      <c r="E114" s="229"/>
      <c r="F114" s="229"/>
      <c r="G114" s="229"/>
      <c r="H114" s="230"/>
      <c r="I114" s="1">
        <v>107</v>
      </c>
      <c r="J114" s="138">
        <f>J69+J86+J90+J100+J113</f>
        <v>423466236</v>
      </c>
      <c r="K114" s="138">
        <f>K69+K86+K90+K100+K113</f>
        <v>404253905</v>
      </c>
    </row>
    <row r="115" spans="1:11" ht="12.75">
      <c r="A115" s="214" t="s">
        <v>51</v>
      </c>
      <c r="B115" s="215"/>
      <c r="C115" s="215"/>
      <c r="D115" s="215"/>
      <c r="E115" s="215"/>
      <c r="F115" s="215"/>
      <c r="G115" s="215"/>
      <c r="H115" s="216"/>
      <c r="I115" s="2">
        <v>108</v>
      </c>
      <c r="J115" s="142">
        <f>+J114-J66</f>
        <v>0</v>
      </c>
      <c r="K115" s="142">
        <f>+K114-K66</f>
        <v>0</v>
      </c>
    </row>
    <row r="116" spans="1:11" ht="12.75">
      <c r="A116" s="217" t="s">
        <v>352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221" t="s">
        <v>179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139">
        <f>+J69-J119</f>
        <v>212124192</v>
      </c>
      <c r="K118" s="139">
        <f>+K69-K119</f>
        <v>246986924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142">
        <v>0</v>
      </c>
      <c r="K119" s="142">
        <v>5000</v>
      </c>
    </row>
    <row r="120" spans="1:11" ht="12.75">
      <c r="A120" s="234" t="s">
        <v>289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showGridLines="0" view="pageBreakPreview" zoomScale="110" zoomScaleSheetLayoutView="110" zoomScalePageLayoutView="0" workbookViewId="0" topLeftCell="A1">
      <selection activeCell="L66" activeCellId="1" sqref="L56 L66"/>
    </sheetView>
  </sheetViews>
  <sheetFormatPr defaultColWidth="9.140625" defaultRowHeight="12.75" outlineLevelCol="1"/>
  <cols>
    <col min="1" max="1" width="58.8515625" style="51" customWidth="1"/>
    <col min="2" max="8" width="9.140625" style="51" hidden="1" customWidth="1" outlineLevel="1"/>
    <col min="9" max="9" width="9.140625" style="51" customWidth="1" collapsed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83" t="s">
        <v>148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spans="1:13" ht="12.75" customHeight="1">
      <c r="A2" s="280" t="s">
        <v>347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2"/>
    </row>
    <row r="3" spans="1:13" ht="12.75" customHeight="1">
      <c r="A3" s="304" t="s">
        <v>325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6"/>
    </row>
    <row r="4" spans="1:13" ht="23.25" customHeight="1">
      <c r="A4" s="307" t="s">
        <v>53</v>
      </c>
      <c r="B4" s="308"/>
      <c r="C4" s="308"/>
      <c r="D4" s="308"/>
      <c r="E4" s="308"/>
      <c r="F4" s="308"/>
      <c r="G4" s="308"/>
      <c r="H4" s="309"/>
      <c r="I4" s="125" t="s">
        <v>328</v>
      </c>
      <c r="J4" s="310" t="s">
        <v>297</v>
      </c>
      <c r="K4" s="310"/>
      <c r="L4" s="310" t="s">
        <v>298</v>
      </c>
      <c r="M4" s="310"/>
    </row>
    <row r="5" spans="1:13" ht="22.5">
      <c r="A5" s="271"/>
      <c r="B5" s="272"/>
      <c r="C5" s="272"/>
      <c r="D5" s="272"/>
      <c r="E5" s="272"/>
      <c r="F5" s="272"/>
      <c r="G5" s="272"/>
      <c r="H5" s="273"/>
      <c r="I5" s="53"/>
      <c r="J5" s="53" t="s">
        <v>292</v>
      </c>
      <c r="K5" s="53" t="s">
        <v>293</v>
      </c>
      <c r="L5" s="53" t="s">
        <v>292</v>
      </c>
      <c r="M5" s="53" t="s">
        <v>293</v>
      </c>
    </row>
    <row r="6" spans="1:13" ht="12.75">
      <c r="A6" s="271">
        <v>1</v>
      </c>
      <c r="B6" s="272"/>
      <c r="C6" s="272"/>
      <c r="D6" s="272"/>
      <c r="E6" s="272"/>
      <c r="F6" s="272"/>
      <c r="G6" s="272"/>
      <c r="H6" s="273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268" t="s">
        <v>329</v>
      </c>
      <c r="B7" s="269"/>
      <c r="C7" s="269"/>
      <c r="D7" s="269"/>
      <c r="E7" s="269"/>
      <c r="F7" s="269"/>
      <c r="G7" s="269"/>
      <c r="H7" s="270"/>
      <c r="I7" s="126">
        <v>111</v>
      </c>
      <c r="J7" s="119">
        <f>SUM(J8:J9)</f>
        <v>303257197</v>
      </c>
      <c r="K7" s="119">
        <f>SUM(K8:K9)</f>
        <v>111316244</v>
      </c>
      <c r="L7" s="119">
        <f>SUM(L8:L9)</f>
        <v>514556290</v>
      </c>
      <c r="M7" s="119">
        <f>SUM(M8:M9)</f>
        <v>112380792</v>
      </c>
    </row>
    <row r="8" spans="1:13" ht="12.75" customHeight="1">
      <c r="A8" s="265" t="s">
        <v>146</v>
      </c>
      <c r="B8" s="266"/>
      <c r="C8" s="266"/>
      <c r="D8" s="266"/>
      <c r="E8" s="266"/>
      <c r="F8" s="266"/>
      <c r="G8" s="266"/>
      <c r="H8" s="267"/>
      <c r="I8" s="127">
        <v>112</v>
      </c>
      <c r="J8" s="7">
        <v>262136247</v>
      </c>
      <c r="K8" s="7">
        <f>+J8-161983036</f>
        <v>100153211</v>
      </c>
      <c r="L8" s="7">
        <v>481247496</v>
      </c>
      <c r="M8" s="7">
        <f>+L8-380593043</f>
        <v>100654453</v>
      </c>
    </row>
    <row r="9" spans="1:13" ht="12.75" customHeight="1">
      <c r="A9" s="265" t="s">
        <v>97</v>
      </c>
      <c r="B9" s="266"/>
      <c r="C9" s="266"/>
      <c r="D9" s="266"/>
      <c r="E9" s="266"/>
      <c r="F9" s="266"/>
      <c r="G9" s="266"/>
      <c r="H9" s="267"/>
      <c r="I9" s="127">
        <v>113</v>
      </c>
      <c r="J9" s="7">
        <f>28754188+12366762</f>
        <v>41120950</v>
      </c>
      <c r="K9" s="7">
        <f>+J9-29957917</f>
        <v>11163033</v>
      </c>
      <c r="L9" s="7">
        <f>26685715+6623079</f>
        <v>33308794</v>
      </c>
      <c r="M9" s="7">
        <f>+L9-21582455</f>
        <v>11726339</v>
      </c>
    </row>
    <row r="10" spans="1:13" ht="12.75" customHeight="1">
      <c r="A10" s="265" t="s">
        <v>330</v>
      </c>
      <c r="B10" s="266"/>
      <c r="C10" s="266"/>
      <c r="D10" s="266"/>
      <c r="E10" s="266"/>
      <c r="F10" s="266"/>
      <c r="G10" s="266"/>
      <c r="H10" s="267"/>
      <c r="I10" s="127">
        <v>114</v>
      </c>
      <c r="J10" s="118">
        <f>J11+J12+J16+J20+J21+J22+J25+J26</f>
        <v>296502906</v>
      </c>
      <c r="K10" s="118">
        <f>K11+K12+K16+K20+K21+K22+K25+K26</f>
        <v>102010863</v>
      </c>
      <c r="L10" s="118">
        <f>L11+L12+L16+L20+L21+L22+L25+L26</f>
        <v>460884610</v>
      </c>
      <c r="M10" s="118">
        <f>M11+M12+M16+M20+M21+M22+M25+M26</f>
        <v>98989620</v>
      </c>
    </row>
    <row r="11" spans="1:13" ht="12.75" customHeight="1">
      <c r="A11" s="265" t="s">
        <v>98</v>
      </c>
      <c r="B11" s="266"/>
      <c r="C11" s="266"/>
      <c r="D11" s="266"/>
      <c r="E11" s="266"/>
      <c r="F11" s="266"/>
      <c r="G11" s="266"/>
      <c r="H11" s="267"/>
      <c r="I11" s="127">
        <v>115</v>
      </c>
      <c r="J11" s="7">
        <v>7676652</v>
      </c>
      <c r="K11" s="7">
        <f>+J11+3489741</f>
        <v>11166393</v>
      </c>
      <c r="L11" s="7">
        <v>3367976</v>
      </c>
      <c r="M11" s="7">
        <f>+L11-3372189</f>
        <v>-4213</v>
      </c>
    </row>
    <row r="12" spans="1:13" ht="12.75" customHeight="1">
      <c r="A12" s="265" t="s">
        <v>331</v>
      </c>
      <c r="B12" s="266"/>
      <c r="C12" s="266"/>
      <c r="D12" s="266"/>
      <c r="E12" s="266"/>
      <c r="F12" s="266"/>
      <c r="G12" s="266"/>
      <c r="H12" s="267"/>
      <c r="I12" s="127">
        <v>116</v>
      </c>
      <c r="J12" s="118">
        <f>SUM(J13:J15)</f>
        <v>183074283</v>
      </c>
      <c r="K12" s="118">
        <f>SUM(K13:K15)</f>
        <v>65832935</v>
      </c>
      <c r="L12" s="118">
        <f>SUM(L13:L15)</f>
        <v>334909217</v>
      </c>
      <c r="M12" s="118">
        <f>SUM(M13:M15)</f>
        <v>56640838</v>
      </c>
    </row>
    <row r="13" spans="1:13" ht="12.75" customHeight="1">
      <c r="A13" s="301" t="s">
        <v>140</v>
      </c>
      <c r="B13" s="302"/>
      <c r="C13" s="302"/>
      <c r="D13" s="302"/>
      <c r="E13" s="302"/>
      <c r="F13" s="302"/>
      <c r="G13" s="302"/>
      <c r="H13" s="303"/>
      <c r="I13" s="127">
        <v>117</v>
      </c>
      <c r="J13" s="7">
        <v>48829523</v>
      </c>
      <c r="K13" s="7">
        <f>+J13-32405538</f>
        <v>16423985</v>
      </c>
      <c r="L13" s="7">
        <v>76385164</v>
      </c>
      <c r="M13" s="7">
        <f>+L13-61943190</f>
        <v>14441974</v>
      </c>
    </row>
    <row r="14" spans="1:13" ht="12.75" customHeight="1">
      <c r="A14" s="301" t="s">
        <v>141</v>
      </c>
      <c r="B14" s="302"/>
      <c r="C14" s="302"/>
      <c r="D14" s="302"/>
      <c r="E14" s="302"/>
      <c r="F14" s="302"/>
      <c r="G14" s="302"/>
      <c r="H14" s="303"/>
      <c r="I14" s="127">
        <v>118</v>
      </c>
      <c r="J14" s="7"/>
      <c r="K14" s="7">
        <f>+J14-0</f>
        <v>0</v>
      </c>
      <c r="L14" s="7"/>
      <c r="M14" s="7">
        <f>+L14-0</f>
        <v>0</v>
      </c>
    </row>
    <row r="15" spans="1:13" ht="12.75" customHeight="1">
      <c r="A15" s="301" t="s">
        <v>55</v>
      </c>
      <c r="B15" s="302"/>
      <c r="C15" s="302"/>
      <c r="D15" s="302"/>
      <c r="E15" s="302"/>
      <c r="F15" s="302"/>
      <c r="G15" s="302"/>
      <c r="H15" s="303"/>
      <c r="I15" s="127">
        <v>119</v>
      </c>
      <c r="J15" s="7">
        <v>134244760</v>
      </c>
      <c r="K15" s="7">
        <f>+J15-84835810</f>
        <v>49408950</v>
      </c>
      <c r="L15" s="7">
        <v>258524053</v>
      </c>
      <c r="M15" s="7">
        <f>+L15-216325189</f>
        <v>42198864</v>
      </c>
    </row>
    <row r="16" spans="1:13" ht="12.75" customHeight="1">
      <c r="A16" s="265" t="s">
        <v>332</v>
      </c>
      <c r="B16" s="266"/>
      <c r="C16" s="266"/>
      <c r="D16" s="266"/>
      <c r="E16" s="266"/>
      <c r="F16" s="266"/>
      <c r="G16" s="266"/>
      <c r="H16" s="267"/>
      <c r="I16" s="127">
        <v>120</v>
      </c>
      <c r="J16" s="118">
        <f>SUM(J17:J19)</f>
        <v>64545636</v>
      </c>
      <c r="K16" s="118">
        <f>SUM(K17:K19)</f>
        <v>16902501</v>
      </c>
      <c r="L16" s="118">
        <f>SUM(L17:L19)</f>
        <v>67653579</v>
      </c>
      <c r="M16" s="118">
        <f>SUM(M17:M19)</f>
        <v>18613473</v>
      </c>
    </row>
    <row r="17" spans="1:13" ht="12.75" customHeight="1">
      <c r="A17" s="301" t="s">
        <v>56</v>
      </c>
      <c r="B17" s="302"/>
      <c r="C17" s="302"/>
      <c r="D17" s="302"/>
      <c r="E17" s="302"/>
      <c r="F17" s="302"/>
      <c r="G17" s="302"/>
      <c r="H17" s="303"/>
      <c r="I17" s="127">
        <v>121</v>
      </c>
      <c r="J17" s="7">
        <v>38317597</v>
      </c>
      <c r="K17" s="7">
        <f>+J17-28093821</f>
        <v>10223776</v>
      </c>
      <c r="L17" s="7">
        <v>40828034</v>
      </c>
      <c r="M17" s="7">
        <f>+L17-29657607</f>
        <v>11170427</v>
      </c>
    </row>
    <row r="18" spans="1:13" ht="12.75" customHeight="1">
      <c r="A18" s="301" t="s">
        <v>57</v>
      </c>
      <c r="B18" s="302"/>
      <c r="C18" s="302"/>
      <c r="D18" s="302"/>
      <c r="E18" s="302"/>
      <c r="F18" s="302"/>
      <c r="G18" s="302"/>
      <c r="H18" s="303"/>
      <c r="I18" s="127">
        <v>122</v>
      </c>
      <c r="J18" s="7">
        <v>16114243</v>
      </c>
      <c r="K18" s="7">
        <f>+J18-12091939</f>
        <v>4022304</v>
      </c>
      <c r="L18" s="7">
        <v>16260672</v>
      </c>
      <c r="M18" s="7">
        <f>+L18-11734527</f>
        <v>4526145</v>
      </c>
    </row>
    <row r="19" spans="1:13" ht="12.75" customHeight="1">
      <c r="A19" s="301" t="s">
        <v>58</v>
      </c>
      <c r="B19" s="302"/>
      <c r="C19" s="302"/>
      <c r="D19" s="302"/>
      <c r="E19" s="302"/>
      <c r="F19" s="302"/>
      <c r="G19" s="302"/>
      <c r="H19" s="303"/>
      <c r="I19" s="127">
        <v>123</v>
      </c>
      <c r="J19" s="7">
        <v>10113796</v>
      </c>
      <c r="K19" s="7">
        <f>+J19-7457375</f>
        <v>2656421</v>
      </c>
      <c r="L19" s="7">
        <v>10564873</v>
      </c>
      <c r="M19" s="7">
        <f>+L19-7647972</f>
        <v>2916901</v>
      </c>
    </row>
    <row r="20" spans="1:13" ht="12.75" customHeight="1">
      <c r="A20" s="265" t="s">
        <v>99</v>
      </c>
      <c r="B20" s="266"/>
      <c r="C20" s="266"/>
      <c r="D20" s="266"/>
      <c r="E20" s="266"/>
      <c r="F20" s="266"/>
      <c r="G20" s="266"/>
      <c r="H20" s="267"/>
      <c r="I20" s="127">
        <v>124</v>
      </c>
      <c r="J20" s="7">
        <v>21993340</v>
      </c>
      <c r="K20" s="7">
        <f>+J20-16485067</f>
        <v>5508273</v>
      </c>
      <c r="L20" s="7">
        <v>26652135</v>
      </c>
      <c r="M20" s="7">
        <f>+L20-17787069</f>
        <v>8865066</v>
      </c>
    </row>
    <row r="21" spans="1:13" ht="12.75" customHeight="1">
      <c r="A21" s="265" t="s">
        <v>100</v>
      </c>
      <c r="B21" s="266"/>
      <c r="C21" s="266"/>
      <c r="D21" s="266"/>
      <c r="E21" s="266"/>
      <c r="F21" s="266"/>
      <c r="G21" s="266"/>
      <c r="H21" s="267"/>
      <c r="I21" s="127">
        <v>125</v>
      </c>
      <c r="J21" s="7">
        <v>17314453</v>
      </c>
      <c r="K21" s="7">
        <f>+J21-12537669</f>
        <v>4776784</v>
      </c>
      <c r="L21" s="7">
        <v>18628142</v>
      </c>
      <c r="M21" s="7">
        <f>+L21-12592634</f>
        <v>6035508</v>
      </c>
    </row>
    <row r="22" spans="1:13" ht="12.75" customHeight="1">
      <c r="A22" s="265" t="s">
        <v>333</v>
      </c>
      <c r="B22" s="266"/>
      <c r="C22" s="266"/>
      <c r="D22" s="266"/>
      <c r="E22" s="266"/>
      <c r="F22" s="266"/>
      <c r="G22" s="266"/>
      <c r="H22" s="267"/>
      <c r="I22" s="127">
        <v>126</v>
      </c>
      <c r="J22" s="118">
        <f>SUM(J23:J24)</f>
        <v>319648</v>
      </c>
      <c r="K22" s="118">
        <f>SUM(K23:K24)</f>
        <v>-296635</v>
      </c>
      <c r="L22" s="118">
        <f>SUM(L23:L24)</f>
        <v>4474917</v>
      </c>
      <c r="M22" s="118">
        <f>SUM(M23:M24)</f>
        <v>4418423</v>
      </c>
    </row>
    <row r="23" spans="1:13" ht="12.75" customHeight="1">
      <c r="A23" s="301" t="s">
        <v>131</v>
      </c>
      <c r="B23" s="302"/>
      <c r="C23" s="302"/>
      <c r="D23" s="302"/>
      <c r="E23" s="302"/>
      <c r="F23" s="302"/>
      <c r="G23" s="302"/>
      <c r="H23" s="303"/>
      <c r="I23" s="127">
        <v>127</v>
      </c>
      <c r="J23" s="7"/>
      <c r="K23" s="7">
        <f>+J23-0</f>
        <v>0</v>
      </c>
      <c r="L23" s="7">
        <v>1534294</v>
      </c>
      <c r="M23" s="7">
        <f aca="true" t="shared" si="0" ref="M23:M41">+L23-0</f>
        <v>1534294</v>
      </c>
    </row>
    <row r="24" spans="1:13" ht="12.75" customHeight="1">
      <c r="A24" s="301" t="s">
        <v>132</v>
      </c>
      <c r="B24" s="302"/>
      <c r="C24" s="302"/>
      <c r="D24" s="302"/>
      <c r="E24" s="302"/>
      <c r="F24" s="302"/>
      <c r="G24" s="302"/>
      <c r="H24" s="303"/>
      <c r="I24" s="127">
        <v>128</v>
      </c>
      <c r="J24" s="7">
        <v>319648</v>
      </c>
      <c r="K24" s="7">
        <f>+J24-616283</f>
        <v>-296635</v>
      </c>
      <c r="L24" s="7">
        <v>2940623</v>
      </c>
      <c r="M24" s="7">
        <f>+L24-56494</f>
        <v>2884129</v>
      </c>
    </row>
    <row r="25" spans="1:13" ht="12.75" customHeight="1">
      <c r="A25" s="265" t="s">
        <v>101</v>
      </c>
      <c r="B25" s="266"/>
      <c r="C25" s="266"/>
      <c r="D25" s="266"/>
      <c r="E25" s="266"/>
      <c r="F25" s="266"/>
      <c r="G25" s="266"/>
      <c r="H25" s="267"/>
      <c r="I25" s="127">
        <v>129</v>
      </c>
      <c r="J25" s="7">
        <v>1000786</v>
      </c>
      <c r="K25" s="7">
        <f>+J25-3000000</f>
        <v>-1999214</v>
      </c>
      <c r="L25" s="7">
        <v>3461973</v>
      </c>
      <c r="M25" s="7">
        <f>+L25-669001</f>
        <v>2792972</v>
      </c>
    </row>
    <row r="26" spans="1:13" ht="12.75" customHeight="1">
      <c r="A26" s="265" t="s">
        <v>44</v>
      </c>
      <c r="B26" s="266"/>
      <c r="C26" s="266"/>
      <c r="D26" s="266"/>
      <c r="E26" s="266"/>
      <c r="F26" s="266"/>
      <c r="G26" s="266"/>
      <c r="H26" s="267"/>
      <c r="I26" s="127">
        <v>130</v>
      </c>
      <c r="J26" s="7">
        <v>578108</v>
      </c>
      <c r="K26" s="7">
        <f>+J26-458282</f>
        <v>119826</v>
      </c>
      <c r="L26" s="7">
        <v>1736671</v>
      </c>
      <c r="M26" s="7">
        <f>+L26-109118</f>
        <v>1627553</v>
      </c>
    </row>
    <row r="27" spans="1:13" ht="12.75" customHeight="1">
      <c r="A27" s="265" t="s">
        <v>334</v>
      </c>
      <c r="B27" s="266"/>
      <c r="C27" s="266"/>
      <c r="D27" s="266"/>
      <c r="E27" s="266"/>
      <c r="F27" s="266"/>
      <c r="G27" s="266"/>
      <c r="H27" s="267"/>
      <c r="I27" s="127">
        <v>131</v>
      </c>
      <c r="J27" s="118">
        <f>SUM(J28:J32)</f>
        <v>2935334</v>
      </c>
      <c r="K27" s="118">
        <f>SUM(K28:K32)</f>
        <v>1245241</v>
      </c>
      <c r="L27" s="118">
        <f>SUM(L28:L32)</f>
        <v>7252302</v>
      </c>
      <c r="M27" s="118">
        <f>SUM(M28:M32)</f>
        <v>1511920</v>
      </c>
    </row>
    <row r="28" spans="1:13" ht="24.75" customHeight="1">
      <c r="A28" s="265" t="s">
        <v>317</v>
      </c>
      <c r="B28" s="266"/>
      <c r="C28" s="266"/>
      <c r="D28" s="266"/>
      <c r="E28" s="266"/>
      <c r="F28" s="266"/>
      <c r="G28" s="266"/>
      <c r="H28" s="267"/>
      <c r="I28" s="127">
        <v>132</v>
      </c>
      <c r="J28" s="7"/>
      <c r="K28" s="7">
        <f>+J28-0</f>
        <v>0</v>
      </c>
      <c r="L28" s="7"/>
      <c r="M28" s="7">
        <f t="shared" si="0"/>
        <v>0</v>
      </c>
    </row>
    <row r="29" spans="1:13" ht="25.5" customHeight="1">
      <c r="A29" s="265" t="s">
        <v>318</v>
      </c>
      <c r="B29" s="266"/>
      <c r="C29" s="266"/>
      <c r="D29" s="266"/>
      <c r="E29" s="266"/>
      <c r="F29" s="266"/>
      <c r="G29" s="266"/>
      <c r="H29" s="267"/>
      <c r="I29" s="127">
        <v>133</v>
      </c>
      <c r="J29" s="7">
        <v>2935334</v>
      </c>
      <c r="K29" s="7">
        <f>+J29-1690093</f>
        <v>1245241</v>
      </c>
      <c r="L29" s="7">
        <v>7252302</v>
      </c>
      <c r="M29" s="7">
        <f>+L29-5740382</f>
        <v>1511920</v>
      </c>
    </row>
    <row r="30" spans="1:13" ht="12.75" customHeight="1">
      <c r="A30" s="265" t="s">
        <v>133</v>
      </c>
      <c r="B30" s="266"/>
      <c r="C30" s="266"/>
      <c r="D30" s="266"/>
      <c r="E30" s="266"/>
      <c r="F30" s="266"/>
      <c r="G30" s="266"/>
      <c r="H30" s="267"/>
      <c r="I30" s="127">
        <v>134</v>
      </c>
      <c r="J30" s="7"/>
      <c r="K30" s="7">
        <f>+J30-0</f>
        <v>0</v>
      </c>
      <c r="L30" s="7"/>
      <c r="M30" s="7">
        <f t="shared" si="0"/>
        <v>0</v>
      </c>
    </row>
    <row r="31" spans="1:13" ht="12.75" customHeight="1">
      <c r="A31" s="265" t="s">
        <v>209</v>
      </c>
      <c r="B31" s="266"/>
      <c r="C31" s="266"/>
      <c r="D31" s="266"/>
      <c r="E31" s="266"/>
      <c r="F31" s="266"/>
      <c r="G31" s="266"/>
      <c r="H31" s="267"/>
      <c r="I31" s="127">
        <v>135</v>
      </c>
      <c r="J31" s="7"/>
      <c r="K31" s="7">
        <f>+J31-0</f>
        <v>0</v>
      </c>
      <c r="L31" s="7"/>
      <c r="M31" s="7">
        <f t="shared" si="0"/>
        <v>0</v>
      </c>
    </row>
    <row r="32" spans="1:13" ht="12.75" customHeight="1">
      <c r="A32" s="265" t="s">
        <v>134</v>
      </c>
      <c r="B32" s="266"/>
      <c r="C32" s="266"/>
      <c r="D32" s="266"/>
      <c r="E32" s="266"/>
      <c r="F32" s="266"/>
      <c r="G32" s="266"/>
      <c r="H32" s="267"/>
      <c r="I32" s="127">
        <v>136</v>
      </c>
      <c r="J32" s="7"/>
      <c r="K32" s="7">
        <f>+J32-0</f>
        <v>0</v>
      </c>
      <c r="L32" s="7"/>
      <c r="M32" s="7">
        <f t="shared" si="0"/>
        <v>0</v>
      </c>
    </row>
    <row r="33" spans="1:13" ht="12.75" customHeight="1">
      <c r="A33" s="265" t="s">
        <v>335</v>
      </c>
      <c r="B33" s="266"/>
      <c r="C33" s="266"/>
      <c r="D33" s="266"/>
      <c r="E33" s="266"/>
      <c r="F33" s="266"/>
      <c r="G33" s="266"/>
      <c r="H33" s="267"/>
      <c r="I33" s="127">
        <v>137</v>
      </c>
      <c r="J33" s="118">
        <f>SUM(J34:J37)</f>
        <v>7574922</v>
      </c>
      <c r="K33" s="118">
        <f>SUM(K34:K37)</f>
        <v>1859546</v>
      </c>
      <c r="L33" s="118">
        <f>SUM(L34:L37)</f>
        <v>15265481</v>
      </c>
      <c r="M33" s="118">
        <f>SUM(M34:M37)</f>
        <v>2612414</v>
      </c>
    </row>
    <row r="34" spans="1:13" ht="24.75" customHeight="1">
      <c r="A34" s="265" t="s">
        <v>60</v>
      </c>
      <c r="B34" s="266"/>
      <c r="C34" s="266"/>
      <c r="D34" s="266"/>
      <c r="E34" s="266"/>
      <c r="F34" s="266"/>
      <c r="G34" s="266"/>
      <c r="H34" s="267"/>
      <c r="I34" s="127">
        <v>138</v>
      </c>
      <c r="J34" s="7"/>
      <c r="K34" s="7">
        <f aca="true" t="shared" si="1" ref="K34:K41">+J34-0</f>
        <v>0</v>
      </c>
      <c r="L34" s="7"/>
      <c r="M34" s="7">
        <f t="shared" si="0"/>
        <v>0</v>
      </c>
    </row>
    <row r="35" spans="1:13" ht="21" customHeight="1">
      <c r="A35" s="265" t="s">
        <v>59</v>
      </c>
      <c r="B35" s="266"/>
      <c r="C35" s="266"/>
      <c r="D35" s="266"/>
      <c r="E35" s="266"/>
      <c r="F35" s="266"/>
      <c r="G35" s="266"/>
      <c r="H35" s="267"/>
      <c r="I35" s="127">
        <v>139</v>
      </c>
      <c r="J35" s="7">
        <v>7574922</v>
      </c>
      <c r="K35" s="7">
        <f>+J35-5715376</f>
        <v>1859546</v>
      </c>
      <c r="L35" s="7">
        <v>15265481</v>
      </c>
      <c r="M35" s="7">
        <f>+L35-12653067</f>
        <v>2612414</v>
      </c>
    </row>
    <row r="36" spans="1:13" ht="12.75" customHeight="1">
      <c r="A36" s="265" t="s">
        <v>210</v>
      </c>
      <c r="B36" s="266"/>
      <c r="C36" s="266"/>
      <c r="D36" s="266"/>
      <c r="E36" s="266"/>
      <c r="F36" s="266"/>
      <c r="G36" s="266"/>
      <c r="H36" s="267"/>
      <c r="I36" s="127">
        <v>140</v>
      </c>
      <c r="J36" s="7"/>
      <c r="K36" s="7">
        <f t="shared" si="1"/>
        <v>0</v>
      </c>
      <c r="L36" s="7"/>
      <c r="M36" s="7">
        <f t="shared" si="0"/>
        <v>0</v>
      </c>
    </row>
    <row r="37" spans="1:13" ht="12.75" customHeight="1">
      <c r="A37" s="265" t="s">
        <v>61</v>
      </c>
      <c r="B37" s="266"/>
      <c r="C37" s="266"/>
      <c r="D37" s="266"/>
      <c r="E37" s="266"/>
      <c r="F37" s="266"/>
      <c r="G37" s="266"/>
      <c r="H37" s="267"/>
      <c r="I37" s="127">
        <v>141</v>
      </c>
      <c r="J37" s="7"/>
      <c r="K37" s="7">
        <f t="shared" si="1"/>
        <v>0</v>
      </c>
      <c r="L37" s="7"/>
      <c r="M37" s="7">
        <f t="shared" si="0"/>
        <v>0</v>
      </c>
    </row>
    <row r="38" spans="1:13" ht="12.75" customHeight="1">
      <c r="A38" s="265" t="s">
        <v>186</v>
      </c>
      <c r="B38" s="266"/>
      <c r="C38" s="266"/>
      <c r="D38" s="266"/>
      <c r="E38" s="266"/>
      <c r="F38" s="266"/>
      <c r="G38" s="266"/>
      <c r="H38" s="267"/>
      <c r="I38" s="127">
        <v>142</v>
      </c>
      <c r="J38" s="7"/>
      <c r="K38" s="7">
        <f t="shared" si="1"/>
        <v>0</v>
      </c>
      <c r="L38" s="7"/>
      <c r="M38" s="7">
        <f t="shared" si="0"/>
        <v>0</v>
      </c>
    </row>
    <row r="39" spans="1:13" ht="12.75" customHeight="1">
      <c r="A39" s="265" t="s">
        <v>187</v>
      </c>
      <c r="B39" s="266"/>
      <c r="C39" s="266"/>
      <c r="D39" s="266"/>
      <c r="E39" s="266"/>
      <c r="F39" s="266"/>
      <c r="G39" s="266"/>
      <c r="H39" s="267"/>
      <c r="I39" s="127">
        <v>143</v>
      </c>
      <c r="J39" s="7"/>
      <c r="K39" s="7">
        <f t="shared" si="1"/>
        <v>0</v>
      </c>
      <c r="L39" s="7"/>
      <c r="M39" s="7">
        <f t="shared" si="0"/>
        <v>0</v>
      </c>
    </row>
    <row r="40" spans="1:13" ht="12.75" customHeight="1">
      <c r="A40" s="265" t="s">
        <v>211</v>
      </c>
      <c r="B40" s="266"/>
      <c r="C40" s="266"/>
      <c r="D40" s="266"/>
      <c r="E40" s="266"/>
      <c r="F40" s="266"/>
      <c r="G40" s="266"/>
      <c r="H40" s="267"/>
      <c r="I40" s="127">
        <v>144</v>
      </c>
      <c r="J40" s="7"/>
      <c r="K40" s="7">
        <f t="shared" si="1"/>
        <v>0</v>
      </c>
      <c r="L40" s="7"/>
      <c r="M40" s="7">
        <f t="shared" si="0"/>
        <v>0</v>
      </c>
    </row>
    <row r="41" spans="1:13" ht="12.75" customHeight="1">
      <c r="A41" s="265" t="s">
        <v>212</v>
      </c>
      <c r="B41" s="266"/>
      <c r="C41" s="266"/>
      <c r="D41" s="266"/>
      <c r="E41" s="266"/>
      <c r="F41" s="266"/>
      <c r="G41" s="266"/>
      <c r="H41" s="267"/>
      <c r="I41" s="127">
        <v>145</v>
      </c>
      <c r="J41" s="7"/>
      <c r="K41" s="7">
        <f t="shared" si="1"/>
        <v>0</v>
      </c>
      <c r="L41" s="7"/>
      <c r="M41" s="7">
        <f t="shared" si="0"/>
        <v>0</v>
      </c>
    </row>
    <row r="42" spans="1:13" ht="12.75" customHeight="1">
      <c r="A42" s="265" t="s">
        <v>336</v>
      </c>
      <c r="B42" s="266"/>
      <c r="C42" s="266"/>
      <c r="D42" s="266"/>
      <c r="E42" s="266"/>
      <c r="F42" s="266"/>
      <c r="G42" s="266"/>
      <c r="H42" s="267"/>
      <c r="I42" s="127">
        <v>146</v>
      </c>
      <c r="J42" s="52">
        <f>J7+J27+J38+J40</f>
        <v>306192531</v>
      </c>
      <c r="K42" s="52">
        <f>K7+K27+K38+K40</f>
        <v>112561485</v>
      </c>
      <c r="L42" s="52">
        <f>L7+L27+L38+L40</f>
        <v>521808592</v>
      </c>
      <c r="M42" s="52">
        <f>M7+M27+M38+M40</f>
        <v>113892712</v>
      </c>
    </row>
    <row r="43" spans="1:13" ht="12.75" customHeight="1">
      <c r="A43" s="265" t="s">
        <v>337</v>
      </c>
      <c r="B43" s="266"/>
      <c r="C43" s="266"/>
      <c r="D43" s="266"/>
      <c r="E43" s="266"/>
      <c r="F43" s="266"/>
      <c r="G43" s="266"/>
      <c r="H43" s="267"/>
      <c r="I43" s="127">
        <v>147</v>
      </c>
      <c r="J43" s="52">
        <f>J10+J33+J39+J41</f>
        <v>304077828</v>
      </c>
      <c r="K43" s="52">
        <f>K10+K33+K39+K41</f>
        <v>103870409</v>
      </c>
      <c r="L43" s="52">
        <f>L10+L33+L39+L41</f>
        <v>476150091</v>
      </c>
      <c r="M43" s="52">
        <f>M10+M33+M39+M41</f>
        <v>101602034</v>
      </c>
    </row>
    <row r="44" spans="1:13" ht="12.75" customHeight="1">
      <c r="A44" s="265" t="s">
        <v>338</v>
      </c>
      <c r="B44" s="266"/>
      <c r="C44" s="266"/>
      <c r="D44" s="266"/>
      <c r="E44" s="266"/>
      <c r="F44" s="266"/>
      <c r="G44" s="266"/>
      <c r="H44" s="267"/>
      <c r="I44" s="127">
        <v>148</v>
      </c>
      <c r="J44" s="52">
        <f>J42-J43</f>
        <v>2114703</v>
      </c>
      <c r="K44" s="52">
        <f>K42-K43</f>
        <v>8691076</v>
      </c>
      <c r="L44" s="52">
        <f>L42-L43</f>
        <v>45658501</v>
      </c>
      <c r="M44" s="52">
        <f>M42-M43</f>
        <v>12290678</v>
      </c>
    </row>
    <row r="45" spans="1:13" ht="12.75" customHeight="1">
      <c r="A45" s="298" t="s">
        <v>205</v>
      </c>
      <c r="B45" s="299"/>
      <c r="C45" s="299"/>
      <c r="D45" s="299"/>
      <c r="E45" s="299"/>
      <c r="F45" s="299"/>
      <c r="G45" s="299"/>
      <c r="H45" s="300"/>
      <c r="I45" s="127">
        <v>149</v>
      </c>
      <c r="J45" s="52">
        <f>IF(J42&gt;J43,J42-J43,0)</f>
        <v>2114703</v>
      </c>
      <c r="K45" s="52">
        <f>IF(K42&gt;K43,K42-K43,0)</f>
        <v>8691076</v>
      </c>
      <c r="L45" s="52">
        <f>IF(L42&gt;L43,L42-L43,0)</f>
        <v>45658501</v>
      </c>
      <c r="M45" s="52">
        <f>IF(M42&gt;M43,M42-M43,0)</f>
        <v>12290678</v>
      </c>
    </row>
    <row r="46" spans="1:13" ht="12.75" customHeight="1">
      <c r="A46" s="298" t="s">
        <v>206</v>
      </c>
      <c r="B46" s="299"/>
      <c r="C46" s="299"/>
      <c r="D46" s="299"/>
      <c r="E46" s="299"/>
      <c r="F46" s="299"/>
      <c r="G46" s="299"/>
      <c r="H46" s="300"/>
      <c r="I46" s="127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 customHeight="1">
      <c r="A47" s="265" t="s">
        <v>204</v>
      </c>
      <c r="B47" s="266"/>
      <c r="C47" s="266"/>
      <c r="D47" s="266"/>
      <c r="E47" s="266"/>
      <c r="F47" s="266"/>
      <c r="G47" s="266"/>
      <c r="H47" s="267"/>
      <c r="I47" s="127">
        <v>151</v>
      </c>
      <c r="J47" s="7">
        <v>641880</v>
      </c>
      <c r="K47" s="7">
        <f>+J47-2857</f>
        <v>639023</v>
      </c>
      <c r="L47" s="7">
        <v>9128379</v>
      </c>
      <c r="M47" s="7">
        <f>+L47-6751758</f>
        <v>2376621</v>
      </c>
    </row>
    <row r="48" spans="1:13" ht="12.75" customHeight="1">
      <c r="A48" s="265" t="s">
        <v>339</v>
      </c>
      <c r="B48" s="266"/>
      <c r="C48" s="266"/>
      <c r="D48" s="266"/>
      <c r="E48" s="266"/>
      <c r="F48" s="266"/>
      <c r="G48" s="266"/>
      <c r="H48" s="267"/>
      <c r="I48" s="127">
        <v>152</v>
      </c>
      <c r="J48" s="52">
        <f>J44-J47</f>
        <v>1472823</v>
      </c>
      <c r="K48" s="52">
        <f>K44-K47</f>
        <v>8052053</v>
      </c>
      <c r="L48" s="52">
        <f>L44-L47</f>
        <v>36530122</v>
      </c>
      <c r="M48" s="52">
        <f>M44-M47</f>
        <v>9914057</v>
      </c>
    </row>
    <row r="49" spans="1:13" ht="12.75" customHeight="1">
      <c r="A49" s="298" t="s">
        <v>184</v>
      </c>
      <c r="B49" s="299"/>
      <c r="C49" s="299"/>
      <c r="D49" s="299"/>
      <c r="E49" s="299"/>
      <c r="F49" s="299"/>
      <c r="G49" s="299"/>
      <c r="H49" s="300"/>
      <c r="I49" s="127">
        <v>153</v>
      </c>
      <c r="J49" s="52">
        <f>IF(J48&gt;0,J48,0)</f>
        <v>1472823</v>
      </c>
      <c r="K49" s="52">
        <f>IF(K48&gt;0,K48,0)</f>
        <v>8052053</v>
      </c>
      <c r="L49" s="52">
        <f>IF(L48&gt;0,L48,0)</f>
        <v>36530122</v>
      </c>
      <c r="M49" s="52">
        <f>IF(M48&gt;0,M48,0)</f>
        <v>9914057</v>
      </c>
    </row>
    <row r="50" spans="1:13" ht="12.75" customHeight="1">
      <c r="A50" s="295" t="s">
        <v>207</v>
      </c>
      <c r="B50" s="296"/>
      <c r="C50" s="296"/>
      <c r="D50" s="296"/>
      <c r="E50" s="296"/>
      <c r="F50" s="296"/>
      <c r="G50" s="296"/>
      <c r="H50" s="297"/>
      <c r="I50" s="128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92" t="s">
        <v>290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4"/>
    </row>
    <row r="52" spans="1:13" ht="12.75" customHeight="1">
      <c r="A52" s="268" t="s">
        <v>180</v>
      </c>
      <c r="B52" s="269"/>
      <c r="C52" s="269"/>
      <c r="D52" s="269"/>
      <c r="E52" s="269"/>
      <c r="F52" s="269"/>
      <c r="G52" s="269"/>
      <c r="H52" s="269"/>
      <c r="I52" s="129"/>
      <c r="J52" s="129"/>
      <c r="K52" s="129"/>
      <c r="L52" s="129"/>
      <c r="M52" s="130"/>
    </row>
    <row r="53" spans="1:13" ht="12.75" customHeight="1">
      <c r="A53" s="277" t="s">
        <v>219</v>
      </c>
      <c r="B53" s="278"/>
      <c r="C53" s="278"/>
      <c r="D53" s="278"/>
      <c r="E53" s="278"/>
      <c r="F53" s="278"/>
      <c r="G53" s="278"/>
      <c r="H53" s="279"/>
      <c r="I53" s="127">
        <v>155</v>
      </c>
      <c r="J53" s="7"/>
      <c r="K53" s="7"/>
      <c r="L53" s="7"/>
      <c r="M53" s="7"/>
    </row>
    <row r="54" spans="1:13" ht="12.75" customHeight="1">
      <c r="A54" s="262" t="s">
        <v>220</v>
      </c>
      <c r="B54" s="263"/>
      <c r="C54" s="263"/>
      <c r="D54" s="263"/>
      <c r="E54" s="263"/>
      <c r="F54" s="263"/>
      <c r="G54" s="263"/>
      <c r="H54" s="264"/>
      <c r="I54" s="127">
        <v>156</v>
      </c>
      <c r="J54" s="8"/>
      <c r="K54" s="8"/>
      <c r="L54" s="8"/>
      <c r="M54" s="8"/>
    </row>
    <row r="55" spans="1:13" ht="12.75" customHeight="1">
      <c r="A55" s="292" t="s">
        <v>182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4"/>
    </row>
    <row r="56" spans="1:13" ht="12.75" customHeight="1">
      <c r="A56" s="268" t="s">
        <v>195</v>
      </c>
      <c r="B56" s="269"/>
      <c r="C56" s="269"/>
      <c r="D56" s="269"/>
      <c r="E56" s="269"/>
      <c r="F56" s="269"/>
      <c r="G56" s="269"/>
      <c r="H56" s="270"/>
      <c r="I56" s="131">
        <v>157</v>
      </c>
      <c r="J56" s="6">
        <f>+J48</f>
        <v>1472823</v>
      </c>
      <c r="K56" s="6">
        <f>+J56+9037320</f>
        <v>10510143</v>
      </c>
      <c r="L56" s="6">
        <f>+L48</f>
        <v>36530122</v>
      </c>
      <c r="M56" s="6">
        <f>+L56-19854627</f>
        <v>16675495</v>
      </c>
    </row>
    <row r="57" spans="1:13" ht="12.75" customHeight="1">
      <c r="A57" s="265" t="s">
        <v>340</v>
      </c>
      <c r="B57" s="266"/>
      <c r="C57" s="266"/>
      <c r="D57" s="266"/>
      <c r="E57" s="266"/>
      <c r="F57" s="266"/>
      <c r="G57" s="266"/>
      <c r="H57" s="267"/>
      <c r="I57" s="127">
        <v>158</v>
      </c>
      <c r="J57" s="52">
        <f>SUM(J58:J64)</f>
        <v>169589</v>
      </c>
      <c r="K57" s="52">
        <f>SUM(K58:K64)</f>
        <v>169589</v>
      </c>
      <c r="L57" s="52">
        <f>SUM(L58:L64)</f>
        <v>-309973</v>
      </c>
      <c r="M57" s="52">
        <f>SUM(M58:M64)</f>
        <v>-309973</v>
      </c>
    </row>
    <row r="58" spans="1:13" ht="12.75" customHeight="1">
      <c r="A58" s="265" t="s">
        <v>213</v>
      </c>
      <c r="B58" s="266"/>
      <c r="C58" s="266"/>
      <c r="D58" s="266"/>
      <c r="E58" s="266"/>
      <c r="F58" s="266"/>
      <c r="G58" s="266"/>
      <c r="H58" s="267"/>
      <c r="I58" s="127">
        <v>159</v>
      </c>
      <c r="J58" s="7"/>
      <c r="K58" s="7"/>
      <c r="L58" s="7"/>
      <c r="M58" s="7"/>
    </row>
    <row r="59" spans="1:13" ht="24.75" customHeight="1">
      <c r="A59" s="265" t="s">
        <v>214</v>
      </c>
      <c r="B59" s="266"/>
      <c r="C59" s="266"/>
      <c r="D59" s="266"/>
      <c r="E59" s="266"/>
      <c r="F59" s="266"/>
      <c r="G59" s="266"/>
      <c r="H59" s="267"/>
      <c r="I59" s="127">
        <v>160</v>
      </c>
      <c r="J59" s="7"/>
      <c r="K59" s="7"/>
      <c r="L59" s="7"/>
      <c r="M59" s="7"/>
    </row>
    <row r="60" spans="1:13" ht="24.75" customHeight="1">
      <c r="A60" s="265" t="s">
        <v>39</v>
      </c>
      <c r="B60" s="266"/>
      <c r="C60" s="266"/>
      <c r="D60" s="266"/>
      <c r="E60" s="266"/>
      <c r="F60" s="266"/>
      <c r="G60" s="266"/>
      <c r="H60" s="267"/>
      <c r="I60" s="127">
        <v>161</v>
      </c>
      <c r="J60" s="7">
        <v>169589</v>
      </c>
      <c r="K60" s="7">
        <f>+J60-0</f>
        <v>169589</v>
      </c>
      <c r="L60" s="7">
        <v>-309973</v>
      </c>
      <c r="M60" s="7">
        <f>+L60-0</f>
        <v>-309973</v>
      </c>
    </row>
    <row r="61" spans="1:13" ht="12.75" customHeight="1">
      <c r="A61" s="265" t="s">
        <v>215</v>
      </c>
      <c r="B61" s="266"/>
      <c r="C61" s="266"/>
      <c r="D61" s="266"/>
      <c r="E61" s="266"/>
      <c r="F61" s="266"/>
      <c r="G61" s="266"/>
      <c r="H61" s="267"/>
      <c r="I61" s="127">
        <v>162</v>
      </c>
      <c r="J61" s="7"/>
      <c r="K61" s="7"/>
      <c r="L61" s="7"/>
      <c r="M61" s="7"/>
    </row>
    <row r="62" spans="1:13" ht="21" customHeight="1">
      <c r="A62" s="265" t="s">
        <v>216</v>
      </c>
      <c r="B62" s="266"/>
      <c r="C62" s="266"/>
      <c r="D62" s="266"/>
      <c r="E62" s="266"/>
      <c r="F62" s="266"/>
      <c r="G62" s="266"/>
      <c r="H62" s="267"/>
      <c r="I62" s="127">
        <v>163</v>
      </c>
      <c r="J62" s="7"/>
      <c r="K62" s="7"/>
      <c r="L62" s="7"/>
      <c r="M62" s="7"/>
    </row>
    <row r="63" spans="1:13" ht="17.25" customHeight="1">
      <c r="A63" s="265" t="s">
        <v>217</v>
      </c>
      <c r="B63" s="266"/>
      <c r="C63" s="266"/>
      <c r="D63" s="266"/>
      <c r="E63" s="266"/>
      <c r="F63" s="266"/>
      <c r="G63" s="266"/>
      <c r="H63" s="267"/>
      <c r="I63" s="127">
        <v>164</v>
      </c>
      <c r="J63" s="7"/>
      <c r="K63" s="7"/>
      <c r="L63" s="7"/>
      <c r="M63" s="7"/>
    </row>
    <row r="64" spans="1:13" ht="12.75" customHeight="1">
      <c r="A64" s="265" t="s">
        <v>218</v>
      </c>
      <c r="B64" s="266"/>
      <c r="C64" s="266"/>
      <c r="D64" s="266"/>
      <c r="E64" s="266"/>
      <c r="F64" s="266"/>
      <c r="G64" s="266"/>
      <c r="H64" s="267"/>
      <c r="I64" s="127">
        <v>165</v>
      </c>
      <c r="J64" s="7"/>
      <c r="K64" s="7"/>
      <c r="L64" s="7"/>
      <c r="M64" s="7"/>
    </row>
    <row r="65" spans="1:13" ht="14.25" customHeight="1">
      <c r="A65" s="265" t="s">
        <v>208</v>
      </c>
      <c r="B65" s="266"/>
      <c r="C65" s="266"/>
      <c r="D65" s="266"/>
      <c r="E65" s="266"/>
      <c r="F65" s="266"/>
      <c r="G65" s="266"/>
      <c r="H65" s="267"/>
      <c r="I65" s="127">
        <v>166</v>
      </c>
      <c r="J65" s="7">
        <v>-33918</v>
      </c>
      <c r="K65" s="7">
        <f>+J65-0</f>
        <v>-33918</v>
      </c>
      <c r="L65" s="7">
        <v>43457</v>
      </c>
      <c r="M65" s="7">
        <f>+L65-0</f>
        <v>43457</v>
      </c>
    </row>
    <row r="66" spans="1:13" ht="21.75" customHeight="1">
      <c r="A66" s="265" t="s">
        <v>341</v>
      </c>
      <c r="B66" s="266"/>
      <c r="C66" s="266"/>
      <c r="D66" s="266"/>
      <c r="E66" s="266"/>
      <c r="F66" s="266"/>
      <c r="G66" s="266"/>
      <c r="H66" s="267"/>
      <c r="I66" s="127">
        <v>167</v>
      </c>
      <c r="J66" s="52">
        <f>+J57+J65</f>
        <v>135671</v>
      </c>
      <c r="K66" s="52">
        <f>+J66-0</f>
        <v>135671</v>
      </c>
      <c r="L66" s="52">
        <f>+L57+L65</f>
        <v>-266516</v>
      </c>
      <c r="M66" s="52">
        <f>+L66-0</f>
        <v>-266516</v>
      </c>
    </row>
    <row r="67" spans="1:13" ht="12.75" customHeight="1">
      <c r="A67" s="286" t="s">
        <v>185</v>
      </c>
      <c r="B67" s="287"/>
      <c r="C67" s="287"/>
      <c r="D67" s="287"/>
      <c r="E67" s="287"/>
      <c r="F67" s="287"/>
      <c r="G67" s="287"/>
      <c r="H67" s="288"/>
      <c r="I67" s="127">
        <v>168</v>
      </c>
      <c r="J67" s="54">
        <f>J56+J66</f>
        <v>1608494</v>
      </c>
      <c r="K67" s="54">
        <f>K56+K66</f>
        <v>10645814</v>
      </c>
      <c r="L67" s="54">
        <f>L56+L66</f>
        <v>36263606</v>
      </c>
      <c r="M67" s="54">
        <f>M56+M66</f>
        <v>16408979</v>
      </c>
    </row>
    <row r="68" spans="1:13" ht="12.75" customHeight="1">
      <c r="A68" s="289" t="s">
        <v>291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1"/>
    </row>
    <row r="69" spans="1:13" ht="12.75" customHeight="1">
      <c r="A69" s="274" t="s">
        <v>181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 customHeight="1">
      <c r="A70" s="277" t="s">
        <v>219</v>
      </c>
      <c r="B70" s="278"/>
      <c r="C70" s="278"/>
      <c r="D70" s="278"/>
      <c r="E70" s="278"/>
      <c r="F70" s="278"/>
      <c r="G70" s="278"/>
      <c r="H70" s="279"/>
      <c r="I70" s="127">
        <v>169</v>
      </c>
      <c r="J70" s="7">
        <f>+J67</f>
        <v>1608494</v>
      </c>
      <c r="K70" s="7">
        <f>+K67</f>
        <v>10645814</v>
      </c>
      <c r="L70" s="7">
        <f>+L67</f>
        <v>36263606</v>
      </c>
      <c r="M70" s="7">
        <f>+M67</f>
        <v>16408979</v>
      </c>
    </row>
    <row r="71" spans="1:13" ht="12.75" customHeight="1">
      <c r="A71" s="262" t="s">
        <v>220</v>
      </c>
      <c r="B71" s="263"/>
      <c r="C71" s="263"/>
      <c r="D71" s="263"/>
      <c r="E71" s="263"/>
      <c r="F71" s="263"/>
      <c r="G71" s="263"/>
      <c r="H71" s="264"/>
      <c r="I71" s="132">
        <v>170</v>
      </c>
      <c r="J71" s="8">
        <v>0</v>
      </c>
      <c r="K71" s="8">
        <v>0</v>
      </c>
      <c r="L71" s="8">
        <f>-132897*0.25</f>
        <v>-33224.25</v>
      </c>
      <c r="M71" s="8">
        <f>+L71</f>
        <v>-33224.25</v>
      </c>
    </row>
  </sheetData>
  <sheetProtection/>
  <mergeCells count="73">
    <mergeCell ref="A3:M3"/>
    <mergeCell ref="A4:H4"/>
    <mergeCell ref="J4:K4"/>
    <mergeCell ref="L4:M4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65:H65"/>
    <mergeCell ref="A66:H66"/>
    <mergeCell ref="A67:H67"/>
    <mergeCell ref="A68:M68"/>
    <mergeCell ref="A62:H62"/>
    <mergeCell ref="A63:H63"/>
    <mergeCell ref="A64:H64"/>
    <mergeCell ref="A58:H58"/>
    <mergeCell ref="A71:H71"/>
    <mergeCell ref="A9:H9"/>
    <mergeCell ref="A8:H8"/>
    <mergeCell ref="A7:H7"/>
    <mergeCell ref="A6:H6"/>
    <mergeCell ref="A5:H5"/>
    <mergeCell ref="A69:M69"/>
    <mergeCell ref="A70:H70"/>
    <mergeCell ref="A59:H59"/>
    <mergeCell ref="A60:H6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110" zoomScaleSheetLayoutView="110" zoomScalePageLayoutView="0" workbookViewId="0" topLeftCell="A1">
      <selection activeCell="A30" sqref="A30:H30"/>
    </sheetView>
  </sheetViews>
  <sheetFormatPr defaultColWidth="9.140625" defaultRowHeight="12.75"/>
  <cols>
    <col min="1" max="7" width="9.140625" style="51" customWidth="1"/>
    <col min="8" max="8" width="6.00390625" style="51" customWidth="1"/>
    <col min="9" max="10" width="9.14062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317" t="s">
        <v>157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2.75" customHeight="1">
      <c r="A2" s="318" t="s">
        <v>347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2.75">
      <c r="A3" s="314" t="s">
        <v>326</v>
      </c>
      <c r="B3" s="315"/>
      <c r="C3" s="315"/>
      <c r="D3" s="315"/>
      <c r="E3" s="315"/>
      <c r="F3" s="315"/>
      <c r="G3" s="315"/>
      <c r="H3" s="315"/>
      <c r="I3" s="315"/>
      <c r="J3" s="315"/>
      <c r="K3" s="316"/>
    </row>
    <row r="4" spans="1:11" ht="33.75">
      <c r="A4" s="319" t="s">
        <v>53</v>
      </c>
      <c r="B4" s="319"/>
      <c r="C4" s="319"/>
      <c r="D4" s="319"/>
      <c r="E4" s="319"/>
      <c r="F4" s="319"/>
      <c r="G4" s="319"/>
      <c r="H4" s="319"/>
      <c r="I4" s="58" t="s">
        <v>259</v>
      </c>
      <c r="J4" s="59" t="s">
        <v>297</v>
      </c>
      <c r="K4" s="59" t="s">
        <v>298</v>
      </c>
    </row>
    <row r="5" spans="1:11" ht="12.75">
      <c r="A5" s="313">
        <v>1</v>
      </c>
      <c r="B5" s="313"/>
      <c r="C5" s="313"/>
      <c r="D5" s="313"/>
      <c r="E5" s="313"/>
      <c r="F5" s="313"/>
      <c r="G5" s="313"/>
      <c r="H5" s="313"/>
      <c r="I5" s="60">
        <v>2</v>
      </c>
      <c r="J5" s="61" t="s">
        <v>262</v>
      </c>
      <c r="K5" s="61" t="s">
        <v>263</v>
      </c>
    </row>
    <row r="6" spans="1:11" ht="12.75">
      <c r="A6" s="217" t="s">
        <v>149</v>
      </c>
      <c r="B6" s="218"/>
      <c r="C6" s="218"/>
      <c r="D6" s="218"/>
      <c r="E6" s="218"/>
      <c r="F6" s="218"/>
      <c r="G6" s="218"/>
      <c r="H6" s="218"/>
      <c r="I6" s="311"/>
      <c r="J6" s="311"/>
      <c r="K6" s="312"/>
    </row>
    <row r="7" spans="1:11" ht="12.75">
      <c r="A7" s="225" t="s">
        <v>34</v>
      </c>
      <c r="B7" s="226"/>
      <c r="C7" s="226"/>
      <c r="D7" s="226"/>
      <c r="E7" s="226"/>
      <c r="F7" s="226"/>
      <c r="G7" s="226"/>
      <c r="H7" s="226"/>
      <c r="I7" s="1">
        <v>1</v>
      </c>
      <c r="J7" s="5">
        <v>2114702</v>
      </c>
      <c r="K7" s="7">
        <v>45658501</v>
      </c>
    </row>
    <row r="8" spans="1:11" ht="12.75">
      <c r="A8" s="225" t="s">
        <v>35</v>
      </c>
      <c r="B8" s="226"/>
      <c r="C8" s="226"/>
      <c r="D8" s="226"/>
      <c r="E8" s="226"/>
      <c r="F8" s="226"/>
      <c r="G8" s="226"/>
      <c r="H8" s="226"/>
      <c r="I8" s="1">
        <v>2</v>
      </c>
      <c r="J8" s="5">
        <v>21993340</v>
      </c>
      <c r="K8" s="7">
        <v>26652135</v>
      </c>
    </row>
    <row r="9" spans="1:11" ht="12.75">
      <c r="A9" s="225" t="s">
        <v>36</v>
      </c>
      <c r="B9" s="226"/>
      <c r="C9" s="226"/>
      <c r="D9" s="226"/>
      <c r="E9" s="226"/>
      <c r="F9" s="226"/>
      <c r="G9" s="226"/>
      <c r="H9" s="226"/>
      <c r="I9" s="1">
        <v>3</v>
      </c>
      <c r="J9" s="5">
        <v>11204372</v>
      </c>
      <c r="K9" s="7"/>
    </row>
    <row r="10" spans="1:11" ht="12.75">
      <c r="A10" s="225" t="s">
        <v>37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>
        <v>23225651</v>
      </c>
    </row>
    <row r="11" spans="1:11" ht="12.75">
      <c r="A11" s="225" t="s">
        <v>38</v>
      </c>
      <c r="B11" s="226"/>
      <c r="C11" s="226"/>
      <c r="D11" s="226"/>
      <c r="E11" s="226"/>
      <c r="F11" s="226"/>
      <c r="G11" s="226"/>
      <c r="H11" s="226"/>
      <c r="I11" s="1">
        <v>5</v>
      </c>
      <c r="J11" s="5">
        <v>3205639</v>
      </c>
      <c r="K11" s="7">
        <v>8156816</v>
      </c>
    </row>
    <row r="12" spans="1:11" ht="12.75">
      <c r="A12" s="225" t="s">
        <v>45</v>
      </c>
      <c r="B12" s="226"/>
      <c r="C12" s="226"/>
      <c r="D12" s="226"/>
      <c r="E12" s="226"/>
      <c r="F12" s="226"/>
      <c r="G12" s="226"/>
      <c r="H12" s="226"/>
      <c r="I12" s="1">
        <v>6</v>
      </c>
      <c r="J12" s="5">
        <f>55763+65570+3128384+669834</f>
        <v>3919551</v>
      </c>
      <c r="K12" s="7">
        <f>2940315+2491301+3300290+2291945+167644+226551+664166+12642201+43492</f>
        <v>24767905</v>
      </c>
    </row>
    <row r="13" spans="1:11" ht="12.75">
      <c r="A13" s="228" t="s">
        <v>150</v>
      </c>
      <c r="B13" s="229"/>
      <c r="C13" s="229"/>
      <c r="D13" s="229"/>
      <c r="E13" s="229"/>
      <c r="F13" s="229"/>
      <c r="G13" s="229"/>
      <c r="H13" s="229"/>
      <c r="I13" s="1">
        <v>7</v>
      </c>
      <c r="J13" s="118">
        <f>SUM(J7:J12)</f>
        <v>42437604</v>
      </c>
      <c r="K13" s="118">
        <f>SUM(K7:K12)</f>
        <v>128461008</v>
      </c>
    </row>
    <row r="14" spans="1:11" ht="12.75">
      <c r="A14" s="225" t="s">
        <v>46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>
        <v>21877647</v>
      </c>
    </row>
    <row r="15" spans="1:11" ht="12.75">
      <c r="A15" s="225" t="s">
        <v>47</v>
      </c>
      <c r="B15" s="226"/>
      <c r="C15" s="226"/>
      <c r="D15" s="226"/>
      <c r="E15" s="226"/>
      <c r="F15" s="226"/>
      <c r="G15" s="226"/>
      <c r="H15" s="226"/>
      <c r="I15" s="1">
        <v>9</v>
      </c>
      <c r="J15" s="5">
        <v>19140185</v>
      </c>
      <c r="K15" s="7"/>
    </row>
    <row r="16" spans="1:11" ht="12.75">
      <c r="A16" s="225" t="s">
        <v>48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>
        <v>0</v>
      </c>
      <c r="K16" s="7"/>
    </row>
    <row r="17" spans="1:11" ht="12.75">
      <c r="A17" s="225" t="s">
        <v>49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>
        <f>303986+2046046+641880+3159657+1933178+3022748+16479248</f>
        <v>27586743</v>
      </c>
      <c r="K17" s="7">
        <f>240789+9128379+834902+135756+1</f>
        <v>10339827</v>
      </c>
    </row>
    <row r="18" spans="1:11" ht="12.75">
      <c r="A18" s="228" t="s">
        <v>151</v>
      </c>
      <c r="B18" s="229"/>
      <c r="C18" s="229"/>
      <c r="D18" s="229"/>
      <c r="E18" s="229"/>
      <c r="F18" s="229"/>
      <c r="G18" s="229"/>
      <c r="H18" s="229"/>
      <c r="I18" s="1">
        <v>12</v>
      </c>
      <c r="J18" s="123">
        <f>SUM(J14:J17)</f>
        <v>46726928</v>
      </c>
      <c r="K18" s="118">
        <f>SUM(K14:K17)</f>
        <v>32217474</v>
      </c>
    </row>
    <row r="19" spans="1:11" ht="12.75">
      <c r="A19" s="228" t="s">
        <v>30</v>
      </c>
      <c r="B19" s="229"/>
      <c r="C19" s="229"/>
      <c r="D19" s="229"/>
      <c r="E19" s="229"/>
      <c r="F19" s="229"/>
      <c r="G19" s="229"/>
      <c r="H19" s="229"/>
      <c r="I19" s="1">
        <v>13</v>
      </c>
      <c r="J19" s="123">
        <f>IF(J13&gt;J18,J13-J18,0)</f>
        <v>0</v>
      </c>
      <c r="K19" s="118">
        <f>IF(K13&gt;K18,K13-K18,0)</f>
        <v>96243534</v>
      </c>
    </row>
    <row r="20" spans="1:11" ht="12.75">
      <c r="A20" s="228" t="s">
        <v>31</v>
      </c>
      <c r="B20" s="229"/>
      <c r="C20" s="229"/>
      <c r="D20" s="229"/>
      <c r="E20" s="229"/>
      <c r="F20" s="229"/>
      <c r="G20" s="229"/>
      <c r="H20" s="229"/>
      <c r="I20" s="1">
        <v>14</v>
      </c>
      <c r="J20" s="56">
        <f>IF(J18&gt;J13,J18-J13,0)</f>
        <v>4289324</v>
      </c>
      <c r="K20" s="118">
        <f>IF(K18&gt;K13,K18-K13,0)</f>
        <v>0</v>
      </c>
    </row>
    <row r="21" spans="1:11" ht="12.75">
      <c r="A21" s="217" t="s">
        <v>152</v>
      </c>
      <c r="B21" s="218"/>
      <c r="C21" s="218"/>
      <c r="D21" s="218"/>
      <c r="E21" s="218"/>
      <c r="F21" s="218"/>
      <c r="G21" s="218"/>
      <c r="H21" s="218"/>
      <c r="I21" s="311"/>
      <c r="J21" s="311"/>
      <c r="K21" s="312"/>
    </row>
    <row r="22" spans="1:11" ht="12.75">
      <c r="A22" s="225" t="s">
        <v>171</v>
      </c>
      <c r="B22" s="226"/>
      <c r="C22" s="226"/>
      <c r="D22" s="226"/>
      <c r="E22" s="226"/>
      <c r="F22" s="226"/>
      <c r="G22" s="226"/>
      <c r="H22" s="226"/>
      <c r="I22" s="1">
        <v>15</v>
      </c>
      <c r="J22" s="5">
        <v>19450</v>
      </c>
      <c r="K22" s="7">
        <v>1650</v>
      </c>
    </row>
    <row r="23" spans="1:11" ht="12.75">
      <c r="A23" s="225" t="s">
        <v>172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173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>
        <v>228342</v>
      </c>
      <c r="K24" s="7">
        <v>227968</v>
      </c>
    </row>
    <row r="25" spans="1:11" ht="12.75">
      <c r="A25" s="225" t="s">
        <v>174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>
        <v>24304</v>
      </c>
      <c r="K25" s="7">
        <v>12821</v>
      </c>
    </row>
    <row r="26" spans="1:11" ht="12.75">
      <c r="A26" s="225" t="s">
        <v>175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>
        <f>107172+188188</f>
        <v>295360</v>
      </c>
      <c r="K26" s="7">
        <f>327187+140446</f>
        <v>467633</v>
      </c>
    </row>
    <row r="27" spans="1:11" ht="12.75">
      <c r="A27" s="228" t="s">
        <v>161</v>
      </c>
      <c r="B27" s="229"/>
      <c r="C27" s="229"/>
      <c r="D27" s="229"/>
      <c r="E27" s="229"/>
      <c r="F27" s="229"/>
      <c r="G27" s="229"/>
      <c r="H27" s="229"/>
      <c r="I27" s="1">
        <v>20</v>
      </c>
      <c r="J27" s="123">
        <f>SUM(J22:J26)</f>
        <v>567456</v>
      </c>
      <c r="K27" s="118">
        <f>SUM(K22:K26)</f>
        <v>710072</v>
      </c>
    </row>
    <row r="28" spans="1:11" ht="12.75">
      <c r="A28" s="225" t="s">
        <v>109</v>
      </c>
      <c r="B28" s="226"/>
      <c r="C28" s="226"/>
      <c r="D28" s="226"/>
      <c r="E28" s="226"/>
      <c r="F28" s="226"/>
      <c r="G28" s="226"/>
      <c r="H28" s="226"/>
      <c r="I28" s="1">
        <v>21</v>
      </c>
      <c r="J28" s="5">
        <v>41844316</v>
      </c>
      <c r="K28" s="7">
        <v>36886270</v>
      </c>
    </row>
    <row r="29" spans="1:11" ht="12.75">
      <c r="A29" s="225" t="s">
        <v>110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14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>
        <v>8634</v>
      </c>
      <c r="K30" s="7">
        <v>18071</v>
      </c>
    </row>
    <row r="31" spans="1:11" ht="12.75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123">
        <f>SUM(J28:J30)</f>
        <v>41852950</v>
      </c>
      <c r="K31" s="118">
        <f>SUM(K28:K30)</f>
        <v>36904341</v>
      </c>
    </row>
    <row r="32" spans="1:11" ht="12.75">
      <c r="A32" s="228" t="s">
        <v>32</v>
      </c>
      <c r="B32" s="229"/>
      <c r="C32" s="229"/>
      <c r="D32" s="229"/>
      <c r="E32" s="229"/>
      <c r="F32" s="229"/>
      <c r="G32" s="229"/>
      <c r="H32" s="229"/>
      <c r="I32" s="1">
        <v>25</v>
      </c>
      <c r="J32" s="123">
        <f>IF(J27&gt;J31,J27-J31,0)</f>
        <v>0</v>
      </c>
      <c r="K32" s="118">
        <f>IF(K27&gt;K31,K27-K31,0)</f>
        <v>0</v>
      </c>
    </row>
    <row r="33" spans="1:11" ht="12.75">
      <c r="A33" s="228" t="s">
        <v>33</v>
      </c>
      <c r="B33" s="229"/>
      <c r="C33" s="229"/>
      <c r="D33" s="229"/>
      <c r="E33" s="229"/>
      <c r="F33" s="229"/>
      <c r="G33" s="229"/>
      <c r="H33" s="229"/>
      <c r="I33" s="1">
        <v>26</v>
      </c>
      <c r="J33" s="123">
        <f>IF(J31&gt;J27,J31-J27,0)</f>
        <v>41285494</v>
      </c>
      <c r="K33" s="118">
        <f>IF(K31&gt;K27,K31-K27,0)</f>
        <v>36194269</v>
      </c>
    </row>
    <row r="34" spans="1:11" ht="12.75">
      <c r="A34" s="217" t="s">
        <v>153</v>
      </c>
      <c r="B34" s="218"/>
      <c r="C34" s="218"/>
      <c r="D34" s="218"/>
      <c r="E34" s="218"/>
      <c r="F34" s="218"/>
      <c r="G34" s="218"/>
      <c r="H34" s="218"/>
      <c r="I34" s="311"/>
      <c r="J34" s="311"/>
      <c r="K34" s="312"/>
    </row>
    <row r="35" spans="1:11" ht="12.75">
      <c r="A35" s="225" t="s">
        <v>167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>
        <v>0</v>
      </c>
      <c r="K35" s="7">
        <v>0</v>
      </c>
    </row>
    <row r="36" spans="1:11" ht="12.75">
      <c r="A36" s="225" t="s">
        <v>23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>
        <v>40549206</v>
      </c>
      <c r="K36" s="7">
        <v>11814134</v>
      </c>
    </row>
    <row r="37" spans="1:11" ht="12.75">
      <c r="A37" s="225" t="s">
        <v>24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8" t="s">
        <v>62</v>
      </c>
      <c r="B38" s="229"/>
      <c r="C38" s="229"/>
      <c r="D38" s="229"/>
      <c r="E38" s="229"/>
      <c r="F38" s="229"/>
      <c r="G38" s="229"/>
      <c r="H38" s="229"/>
      <c r="I38" s="1">
        <v>30</v>
      </c>
      <c r="J38" s="123">
        <f>SUM(J35:J37)</f>
        <v>40549206</v>
      </c>
      <c r="K38" s="118">
        <f>SUM(K35:K37)</f>
        <v>11814134</v>
      </c>
    </row>
    <row r="39" spans="1:11" ht="12.75">
      <c r="A39" s="225" t="s">
        <v>25</v>
      </c>
      <c r="B39" s="226"/>
      <c r="C39" s="226"/>
      <c r="D39" s="226"/>
      <c r="E39" s="226"/>
      <c r="F39" s="226"/>
      <c r="G39" s="226"/>
      <c r="H39" s="226"/>
      <c r="I39" s="1">
        <v>31</v>
      </c>
      <c r="J39" s="5">
        <v>12790239</v>
      </c>
      <c r="K39" s="7">
        <v>48233063</v>
      </c>
    </row>
    <row r="40" spans="1:11" ht="12.75">
      <c r="A40" s="225" t="s">
        <v>26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>
        <v>11991045</v>
      </c>
      <c r="K40" s="7">
        <v>1438925</v>
      </c>
    </row>
    <row r="41" spans="1:11" ht="12.75">
      <c r="A41" s="225" t="s">
        <v>27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28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29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8" t="s">
        <v>63</v>
      </c>
      <c r="B44" s="229"/>
      <c r="C44" s="229"/>
      <c r="D44" s="229"/>
      <c r="E44" s="229"/>
      <c r="F44" s="229"/>
      <c r="G44" s="229"/>
      <c r="H44" s="229"/>
      <c r="I44" s="1">
        <v>36</v>
      </c>
      <c r="J44" s="123">
        <f>SUM(J39:J43)</f>
        <v>24781284</v>
      </c>
      <c r="K44" s="118">
        <f>SUM(K39:K43)</f>
        <v>49671988</v>
      </c>
    </row>
    <row r="45" spans="1:11" ht="12.75">
      <c r="A45" s="228" t="s">
        <v>15</v>
      </c>
      <c r="B45" s="229"/>
      <c r="C45" s="229"/>
      <c r="D45" s="229"/>
      <c r="E45" s="229"/>
      <c r="F45" s="229"/>
      <c r="G45" s="229"/>
      <c r="H45" s="229"/>
      <c r="I45" s="1">
        <v>37</v>
      </c>
      <c r="J45" s="123">
        <f>IF(J38&gt;J44,J38-J44,0)</f>
        <v>15767922</v>
      </c>
      <c r="K45" s="118">
        <f>IF(K38&gt;K44,K38-K44,0)</f>
        <v>0</v>
      </c>
    </row>
    <row r="46" spans="1:11" ht="12.75">
      <c r="A46" s="228" t="s">
        <v>16</v>
      </c>
      <c r="B46" s="229"/>
      <c r="C46" s="229"/>
      <c r="D46" s="229"/>
      <c r="E46" s="229"/>
      <c r="F46" s="229"/>
      <c r="G46" s="229"/>
      <c r="H46" s="229"/>
      <c r="I46" s="1">
        <v>38</v>
      </c>
      <c r="J46" s="123">
        <f>IF(J44&gt;J38,J44-J38,0)</f>
        <v>0</v>
      </c>
      <c r="K46" s="118">
        <f>IF(K44&gt;K38,K44-K38,0)</f>
        <v>37857854</v>
      </c>
    </row>
    <row r="47" spans="1:11" ht="12.75">
      <c r="A47" s="225" t="s">
        <v>64</v>
      </c>
      <c r="B47" s="226"/>
      <c r="C47" s="226"/>
      <c r="D47" s="226"/>
      <c r="E47" s="226"/>
      <c r="F47" s="226"/>
      <c r="G47" s="226"/>
      <c r="H47" s="226"/>
      <c r="I47" s="1">
        <v>39</v>
      </c>
      <c r="J47" s="56">
        <f>IF(J19-J20+J32-J33+J45-J46&gt;0,J19-J20+J32-J33+J45-J46,0)</f>
        <v>0</v>
      </c>
      <c r="K47" s="52">
        <f>IF(K19-K20+K32-K33+K45-K46&gt;0,K19-K20+K32-K33+K45-K46,0)</f>
        <v>22191411</v>
      </c>
    </row>
    <row r="48" spans="1:11" ht="12.75">
      <c r="A48" s="225" t="s">
        <v>65</v>
      </c>
      <c r="B48" s="226"/>
      <c r="C48" s="226"/>
      <c r="D48" s="226"/>
      <c r="E48" s="226"/>
      <c r="F48" s="226"/>
      <c r="G48" s="226"/>
      <c r="H48" s="226"/>
      <c r="I48" s="1">
        <v>40</v>
      </c>
      <c r="J48" s="56">
        <f>IF(J20-J19+J33-J32+J46-J45&gt;0,J20-J19+J33-J32+J46-J45,0)</f>
        <v>29806896</v>
      </c>
      <c r="K48" s="52">
        <f>IF(K20-K19+K33-K32+K46-K45&gt;0,K20-K19+K33-K32+K46-K45,0)</f>
        <v>0</v>
      </c>
    </row>
    <row r="49" spans="1:11" ht="12.75">
      <c r="A49" s="225" t="s">
        <v>154</v>
      </c>
      <c r="B49" s="226"/>
      <c r="C49" s="226"/>
      <c r="D49" s="226"/>
      <c r="E49" s="226"/>
      <c r="F49" s="226"/>
      <c r="G49" s="226"/>
      <c r="H49" s="226"/>
      <c r="I49" s="1">
        <v>41</v>
      </c>
      <c r="J49" s="5">
        <v>40608876</v>
      </c>
      <c r="K49" s="7">
        <v>10801981</v>
      </c>
    </row>
    <row r="50" spans="1:11" ht="12.75">
      <c r="A50" s="225" t="s">
        <v>168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>
        <f>+J47</f>
        <v>0</v>
      </c>
      <c r="K50" s="5">
        <f>+K47</f>
        <v>22191411</v>
      </c>
    </row>
    <row r="51" spans="1:11" ht="12.75">
      <c r="A51" s="225" t="s">
        <v>169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>
        <f>+J48</f>
        <v>29806896</v>
      </c>
      <c r="K51" s="5">
        <f>+K48</f>
        <v>0</v>
      </c>
    </row>
    <row r="52" spans="1:11" ht="12.75">
      <c r="A52" s="231" t="s">
        <v>170</v>
      </c>
      <c r="B52" s="232"/>
      <c r="C52" s="232"/>
      <c r="D52" s="232"/>
      <c r="E52" s="232"/>
      <c r="F52" s="232"/>
      <c r="G52" s="232"/>
      <c r="H52" s="232"/>
      <c r="I52" s="4">
        <v>44</v>
      </c>
      <c r="J52" s="124">
        <f>J49+J50-J51</f>
        <v>10801980</v>
      </c>
      <c r="K52" s="121">
        <f>K49+K50-K51</f>
        <v>32993392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317" t="s">
        <v>188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2.75" customHeight="1">
      <c r="A2" s="326" t="s">
        <v>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1" ht="12.75">
      <c r="A3" s="325" t="s">
        <v>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33.75">
      <c r="A4" s="319" t="s">
        <v>53</v>
      </c>
      <c r="B4" s="319"/>
      <c r="C4" s="319"/>
      <c r="D4" s="319"/>
      <c r="E4" s="319"/>
      <c r="F4" s="319"/>
      <c r="G4" s="319"/>
      <c r="H4" s="319"/>
      <c r="I4" s="58" t="s">
        <v>259</v>
      </c>
      <c r="J4" s="59" t="s">
        <v>297</v>
      </c>
      <c r="K4" s="59" t="s">
        <v>298</v>
      </c>
    </row>
    <row r="5" spans="1:11" ht="12.75">
      <c r="A5" s="324">
        <v>1</v>
      </c>
      <c r="B5" s="324"/>
      <c r="C5" s="324"/>
      <c r="D5" s="324"/>
      <c r="E5" s="324"/>
      <c r="F5" s="324"/>
      <c r="G5" s="324"/>
      <c r="H5" s="324"/>
      <c r="I5" s="64">
        <v>2</v>
      </c>
      <c r="J5" s="65" t="s">
        <v>262</v>
      </c>
      <c r="K5" s="65" t="s">
        <v>263</v>
      </c>
    </row>
    <row r="6" spans="1:11" ht="12.75">
      <c r="A6" s="217" t="s">
        <v>149</v>
      </c>
      <c r="B6" s="218"/>
      <c r="C6" s="218"/>
      <c r="D6" s="218"/>
      <c r="E6" s="218"/>
      <c r="F6" s="218"/>
      <c r="G6" s="218"/>
      <c r="H6" s="218"/>
      <c r="I6" s="311"/>
      <c r="J6" s="311"/>
      <c r="K6" s="312"/>
    </row>
    <row r="7" spans="1:11" ht="12.75">
      <c r="A7" s="225" t="s">
        <v>190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113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114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115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116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8" t="s">
        <v>189</v>
      </c>
      <c r="B12" s="229"/>
      <c r="C12" s="229"/>
      <c r="D12" s="229"/>
      <c r="E12" s="229"/>
      <c r="F12" s="229"/>
      <c r="G12" s="229"/>
      <c r="H12" s="229"/>
      <c r="I12" s="1">
        <v>6</v>
      </c>
      <c r="J12" s="56">
        <f>SUM(J7:J11)</f>
        <v>0</v>
      </c>
      <c r="K12" s="52">
        <f>SUM(K7:K11)</f>
        <v>0</v>
      </c>
    </row>
    <row r="13" spans="1:11" ht="12.75">
      <c r="A13" s="225" t="s">
        <v>117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118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119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120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121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122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28" t="s">
        <v>41</v>
      </c>
      <c r="B19" s="229"/>
      <c r="C19" s="229"/>
      <c r="D19" s="229"/>
      <c r="E19" s="229"/>
      <c r="F19" s="229"/>
      <c r="G19" s="229"/>
      <c r="H19" s="229"/>
      <c r="I19" s="1">
        <v>13</v>
      </c>
      <c r="J19" s="56">
        <f>SUM(J13:J18)</f>
        <v>0</v>
      </c>
      <c r="K19" s="52">
        <f>SUM(K13:K18)</f>
        <v>0</v>
      </c>
    </row>
    <row r="20" spans="1:11" ht="12.75">
      <c r="A20" s="228" t="s">
        <v>102</v>
      </c>
      <c r="B20" s="322"/>
      <c r="C20" s="322"/>
      <c r="D20" s="322"/>
      <c r="E20" s="322"/>
      <c r="F20" s="322"/>
      <c r="G20" s="322"/>
      <c r="H20" s="323"/>
      <c r="I20" s="1">
        <v>14</v>
      </c>
      <c r="J20" s="56">
        <f>IF(J12&gt;J19,J12-J19,0)</f>
        <v>0</v>
      </c>
      <c r="K20" s="52">
        <f>IF(K12&gt;K19,K12-K19,0)</f>
        <v>0</v>
      </c>
    </row>
    <row r="21" spans="1:11" ht="12.75">
      <c r="A21" s="240" t="s">
        <v>103</v>
      </c>
      <c r="B21" s="320"/>
      <c r="C21" s="320"/>
      <c r="D21" s="320"/>
      <c r="E21" s="320"/>
      <c r="F21" s="320"/>
      <c r="G21" s="320"/>
      <c r="H21" s="321"/>
      <c r="I21" s="1">
        <v>15</v>
      </c>
      <c r="J21" s="56">
        <f>IF(J19&gt;J12,J19-J12,0)</f>
        <v>0</v>
      </c>
      <c r="K21" s="52">
        <f>IF(K19&gt;K12,K19-K12,0)</f>
        <v>0</v>
      </c>
    </row>
    <row r="22" spans="1:11" ht="12.75">
      <c r="A22" s="217" t="s">
        <v>152</v>
      </c>
      <c r="B22" s="218"/>
      <c r="C22" s="218"/>
      <c r="D22" s="218"/>
      <c r="E22" s="218"/>
      <c r="F22" s="218"/>
      <c r="G22" s="218"/>
      <c r="H22" s="218"/>
      <c r="I22" s="311"/>
      <c r="J22" s="311"/>
      <c r="K22" s="312"/>
    </row>
    <row r="23" spans="1:11" ht="12.75">
      <c r="A23" s="225" t="s">
        <v>158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159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299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300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160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28" t="s">
        <v>108</v>
      </c>
      <c r="B28" s="229"/>
      <c r="C28" s="229"/>
      <c r="D28" s="229"/>
      <c r="E28" s="229"/>
      <c r="F28" s="229"/>
      <c r="G28" s="229"/>
      <c r="H28" s="229"/>
      <c r="I28" s="1">
        <v>21</v>
      </c>
      <c r="J28" s="56">
        <f>SUM(J23:J27)</f>
        <v>0</v>
      </c>
      <c r="K28" s="52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28" t="s">
        <v>42</v>
      </c>
      <c r="B32" s="229"/>
      <c r="C32" s="229"/>
      <c r="D32" s="229"/>
      <c r="E32" s="229"/>
      <c r="F32" s="229"/>
      <c r="G32" s="229"/>
      <c r="H32" s="229"/>
      <c r="I32" s="1">
        <v>25</v>
      </c>
      <c r="J32" s="56">
        <f>SUM(J29:J31)</f>
        <v>0</v>
      </c>
      <c r="K32" s="52">
        <f>SUM(K29:K31)</f>
        <v>0</v>
      </c>
    </row>
    <row r="33" spans="1:11" ht="12.75">
      <c r="A33" s="228" t="s">
        <v>104</v>
      </c>
      <c r="B33" s="229"/>
      <c r="C33" s="229"/>
      <c r="D33" s="229"/>
      <c r="E33" s="229"/>
      <c r="F33" s="229"/>
      <c r="G33" s="229"/>
      <c r="H33" s="229"/>
      <c r="I33" s="1">
        <v>26</v>
      </c>
      <c r="J33" s="56">
        <f>IF(J28&gt;J32,J28-J32,0)</f>
        <v>0</v>
      </c>
      <c r="K33" s="52">
        <f>IF(K28&gt;K32,K28-K32,0)</f>
        <v>0</v>
      </c>
    </row>
    <row r="34" spans="1:11" ht="12.75">
      <c r="A34" s="228" t="s">
        <v>105</v>
      </c>
      <c r="B34" s="229"/>
      <c r="C34" s="229"/>
      <c r="D34" s="229"/>
      <c r="E34" s="229"/>
      <c r="F34" s="229"/>
      <c r="G34" s="229"/>
      <c r="H34" s="229"/>
      <c r="I34" s="1">
        <v>27</v>
      </c>
      <c r="J34" s="56">
        <f>IF(J32&gt;J28,J32-J28,0)</f>
        <v>0</v>
      </c>
      <c r="K34" s="52">
        <f>IF(K32&gt;K28,K32-K28,0)</f>
        <v>0</v>
      </c>
    </row>
    <row r="35" spans="1:11" ht="12.75">
      <c r="A35" s="217" t="s">
        <v>153</v>
      </c>
      <c r="B35" s="218"/>
      <c r="C35" s="218"/>
      <c r="D35" s="218"/>
      <c r="E35" s="218"/>
      <c r="F35" s="218"/>
      <c r="G35" s="218"/>
      <c r="H35" s="218"/>
      <c r="I35" s="311">
        <v>0</v>
      </c>
      <c r="J35" s="311"/>
      <c r="K35" s="312"/>
    </row>
    <row r="36" spans="1:11" ht="12.75">
      <c r="A36" s="225" t="s">
        <v>167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23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24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28" t="s">
        <v>43</v>
      </c>
      <c r="B39" s="229"/>
      <c r="C39" s="229"/>
      <c r="D39" s="229"/>
      <c r="E39" s="229"/>
      <c r="F39" s="229"/>
      <c r="G39" s="229"/>
      <c r="H39" s="229"/>
      <c r="I39" s="1">
        <v>31</v>
      </c>
      <c r="J39" s="56">
        <f>SUM(J36:J38)</f>
        <v>0</v>
      </c>
      <c r="K39" s="52">
        <f>SUM(K36:K38)</f>
        <v>0</v>
      </c>
    </row>
    <row r="40" spans="1:11" ht="12.75">
      <c r="A40" s="225" t="s">
        <v>25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26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27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28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29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28" t="s">
        <v>142</v>
      </c>
      <c r="B45" s="229"/>
      <c r="C45" s="229"/>
      <c r="D45" s="229"/>
      <c r="E45" s="229"/>
      <c r="F45" s="229"/>
      <c r="G45" s="229"/>
      <c r="H45" s="229"/>
      <c r="I45" s="1">
        <v>37</v>
      </c>
      <c r="J45" s="56">
        <f>SUM(J40:J44)</f>
        <v>0</v>
      </c>
      <c r="K45" s="52">
        <f>SUM(K40:K44)</f>
        <v>0</v>
      </c>
    </row>
    <row r="46" spans="1:11" ht="12.75">
      <c r="A46" s="228" t="s">
        <v>155</v>
      </c>
      <c r="B46" s="229"/>
      <c r="C46" s="229"/>
      <c r="D46" s="229"/>
      <c r="E46" s="229"/>
      <c r="F46" s="229"/>
      <c r="G46" s="229"/>
      <c r="H46" s="229"/>
      <c r="I46" s="1">
        <v>38</v>
      </c>
      <c r="J46" s="56">
        <f>IF(J39&gt;J45,J39-J45,0)</f>
        <v>0</v>
      </c>
      <c r="K46" s="52">
        <f>IF(K39&gt;K45,K39-K45,0)</f>
        <v>0</v>
      </c>
    </row>
    <row r="47" spans="1:11" ht="12.75">
      <c r="A47" s="228" t="s">
        <v>156</v>
      </c>
      <c r="B47" s="229"/>
      <c r="C47" s="229"/>
      <c r="D47" s="229"/>
      <c r="E47" s="229"/>
      <c r="F47" s="229"/>
      <c r="G47" s="229"/>
      <c r="H47" s="229"/>
      <c r="I47" s="1">
        <v>39</v>
      </c>
      <c r="J47" s="56">
        <f>IF(J45&gt;J39,J45-J39,0)</f>
        <v>0</v>
      </c>
      <c r="K47" s="52">
        <f>IF(K45&gt;K39,K45-K39,0)</f>
        <v>0</v>
      </c>
    </row>
    <row r="48" spans="1:11" ht="12.75">
      <c r="A48" s="228" t="s">
        <v>143</v>
      </c>
      <c r="B48" s="229"/>
      <c r="C48" s="229"/>
      <c r="D48" s="229"/>
      <c r="E48" s="229"/>
      <c r="F48" s="229"/>
      <c r="G48" s="229"/>
      <c r="H48" s="229"/>
      <c r="I48" s="1">
        <v>40</v>
      </c>
      <c r="J48" s="56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8" t="s">
        <v>13</v>
      </c>
      <c r="B49" s="229"/>
      <c r="C49" s="229"/>
      <c r="D49" s="229"/>
      <c r="E49" s="229"/>
      <c r="F49" s="229"/>
      <c r="G49" s="229"/>
      <c r="H49" s="229"/>
      <c r="I49" s="1">
        <v>41</v>
      </c>
      <c r="J49" s="56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8" t="s">
        <v>154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/>
      <c r="K50" s="7"/>
    </row>
    <row r="51" spans="1:11" ht="12.75">
      <c r="A51" s="228" t="s">
        <v>168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/>
      <c r="K51" s="7"/>
    </row>
    <row r="52" spans="1:11" ht="12.75">
      <c r="A52" s="228" t="s">
        <v>169</v>
      </c>
      <c r="B52" s="229"/>
      <c r="C52" s="229"/>
      <c r="D52" s="229"/>
      <c r="E52" s="229"/>
      <c r="F52" s="229"/>
      <c r="G52" s="229"/>
      <c r="H52" s="229"/>
      <c r="I52" s="1">
        <v>44</v>
      </c>
      <c r="J52" s="5"/>
      <c r="K52" s="7"/>
    </row>
    <row r="53" spans="1:11" ht="12.75">
      <c r="A53" s="240" t="s">
        <v>170</v>
      </c>
      <c r="B53" s="241"/>
      <c r="C53" s="241"/>
      <c r="D53" s="241"/>
      <c r="E53" s="241"/>
      <c r="F53" s="241"/>
      <c r="G53" s="241"/>
      <c r="H53" s="241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3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>
      <c r="A1" s="342" t="s">
        <v>342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67"/>
    </row>
    <row r="2" spans="1:12" ht="15.75">
      <c r="A2" s="41"/>
      <c r="B2" s="66"/>
      <c r="C2" s="327" t="s">
        <v>261</v>
      </c>
      <c r="D2" s="327"/>
      <c r="E2" s="120" t="s">
        <v>315</v>
      </c>
      <c r="F2" s="42" t="s">
        <v>231</v>
      </c>
      <c r="G2" s="328" t="s">
        <v>348</v>
      </c>
      <c r="H2" s="329"/>
      <c r="I2" s="66"/>
      <c r="J2" s="66"/>
      <c r="K2" s="66"/>
      <c r="L2" s="69"/>
    </row>
    <row r="3" spans="1:11" ht="23.25">
      <c r="A3" s="330" t="s">
        <v>53</v>
      </c>
      <c r="B3" s="330"/>
      <c r="C3" s="330"/>
      <c r="D3" s="330"/>
      <c r="E3" s="330"/>
      <c r="F3" s="330"/>
      <c r="G3" s="330"/>
      <c r="H3" s="330"/>
      <c r="I3" s="71" t="s">
        <v>284</v>
      </c>
      <c r="J3" s="72" t="s">
        <v>144</v>
      </c>
      <c r="K3" s="72" t="s">
        <v>145</v>
      </c>
    </row>
    <row r="4" spans="1:11" ht="12.75">
      <c r="A4" s="331">
        <v>1</v>
      </c>
      <c r="B4" s="331"/>
      <c r="C4" s="331"/>
      <c r="D4" s="331"/>
      <c r="E4" s="331"/>
      <c r="F4" s="331"/>
      <c r="G4" s="331"/>
      <c r="H4" s="331"/>
      <c r="I4" s="74">
        <v>2</v>
      </c>
      <c r="J4" s="73" t="s">
        <v>262</v>
      </c>
      <c r="K4" s="73" t="s">
        <v>263</v>
      </c>
    </row>
    <row r="5" spans="1:11" ht="12.75">
      <c r="A5" s="332" t="s">
        <v>264</v>
      </c>
      <c r="B5" s="333"/>
      <c r="C5" s="333"/>
      <c r="D5" s="333"/>
      <c r="E5" s="333"/>
      <c r="F5" s="333"/>
      <c r="G5" s="333"/>
      <c r="H5" s="333"/>
      <c r="I5" s="43">
        <v>1</v>
      </c>
      <c r="J5" s="6">
        <v>168132470</v>
      </c>
      <c r="K5" s="6">
        <f>168137470-5000</f>
        <v>168132470</v>
      </c>
    </row>
    <row r="6" spans="1:11" ht="12.75">
      <c r="A6" s="332" t="s">
        <v>265</v>
      </c>
      <c r="B6" s="333"/>
      <c r="C6" s="333"/>
      <c r="D6" s="333"/>
      <c r="E6" s="333"/>
      <c r="F6" s="333"/>
      <c r="G6" s="333"/>
      <c r="H6" s="333"/>
      <c r="I6" s="43">
        <v>2</v>
      </c>
      <c r="J6" s="45"/>
      <c r="K6" s="45"/>
    </row>
    <row r="7" spans="1:11" ht="12.75">
      <c r="A7" s="332" t="s">
        <v>266</v>
      </c>
      <c r="B7" s="333"/>
      <c r="C7" s="333"/>
      <c r="D7" s="333"/>
      <c r="E7" s="333"/>
      <c r="F7" s="333"/>
      <c r="G7" s="333"/>
      <c r="H7" s="333"/>
      <c r="I7" s="43">
        <v>3</v>
      </c>
      <c r="J7" s="45">
        <v>40148191</v>
      </c>
      <c r="K7" s="45">
        <f>40162382+5000</f>
        <v>40167382</v>
      </c>
    </row>
    <row r="8" spans="1:11" ht="12.75">
      <c r="A8" s="332" t="s">
        <v>267</v>
      </c>
      <c r="B8" s="333"/>
      <c r="C8" s="333"/>
      <c r="D8" s="333"/>
      <c r="E8" s="333"/>
      <c r="F8" s="333"/>
      <c r="G8" s="333"/>
      <c r="H8" s="333"/>
      <c r="I8" s="43">
        <v>4</v>
      </c>
      <c r="J8" s="45">
        <v>2399476</v>
      </c>
      <c r="K8" s="45">
        <v>2444748</v>
      </c>
    </row>
    <row r="9" spans="1:11" ht="12.75">
      <c r="A9" s="332" t="s">
        <v>268</v>
      </c>
      <c r="B9" s="333"/>
      <c r="C9" s="333"/>
      <c r="D9" s="333"/>
      <c r="E9" s="333"/>
      <c r="F9" s="333"/>
      <c r="G9" s="333"/>
      <c r="H9" s="333"/>
      <c r="I9" s="43">
        <v>5</v>
      </c>
      <c r="J9" s="45">
        <v>1472823</v>
      </c>
      <c r="K9" s="45">
        <f>+RDG!L49</f>
        <v>36530122</v>
      </c>
    </row>
    <row r="10" spans="1:11" ht="12.75">
      <c r="A10" s="332" t="s">
        <v>269</v>
      </c>
      <c r="B10" s="333"/>
      <c r="C10" s="333"/>
      <c r="D10" s="333"/>
      <c r="E10" s="333"/>
      <c r="F10" s="333"/>
      <c r="G10" s="333"/>
      <c r="H10" s="333"/>
      <c r="I10" s="43">
        <v>6</v>
      </c>
      <c r="J10" s="45"/>
      <c r="K10" s="45"/>
    </row>
    <row r="11" spans="1:11" ht="12.75">
      <c r="A11" s="332" t="s">
        <v>270</v>
      </c>
      <c r="B11" s="333"/>
      <c r="C11" s="333"/>
      <c r="D11" s="333"/>
      <c r="E11" s="333"/>
      <c r="F11" s="333"/>
      <c r="G11" s="333"/>
      <c r="H11" s="333"/>
      <c r="I11" s="43">
        <v>7</v>
      </c>
      <c r="J11" s="45"/>
      <c r="K11" s="45"/>
    </row>
    <row r="12" spans="1:11" ht="12.75">
      <c r="A12" s="332" t="s">
        <v>271</v>
      </c>
      <c r="B12" s="333"/>
      <c r="C12" s="333"/>
      <c r="D12" s="333"/>
      <c r="E12" s="333"/>
      <c r="F12" s="333"/>
      <c r="G12" s="333"/>
      <c r="H12" s="333"/>
      <c r="I12" s="43">
        <v>8</v>
      </c>
      <c r="J12" s="45">
        <v>-28768</v>
      </c>
      <c r="K12" s="45">
        <v>-282798</v>
      </c>
    </row>
    <row r="13" spans="1:11" ht="12.75">
      <c r="A13" s="332" t="s">
        <v>272</v>
      </c>
      <c r="B13" s="333"/>
      <c r="C13" s="333"/>
      <c r="D13" s="333"/>
      <c r="E13" s="333"/>
      <c r="F13" s="333"/>
      <c r="G13" s="333"/>
      <c r="H13" s="333"/>
      <c r="I13" s="43">
        <v>9</v>
      </c>
      <c r="J13" s="45"/>
      <c r="K13" s="45"/>
    </row>
    <row r="14" spans="1:11" ht="12.75">
      <c r="A14" s="334" t="s">
        <v>273</v>
      </c>
      <c r="B14" s="335"/>
      <c r="C14" s="335"/>
      <c r="D14" s="335"/>
      <c r="E14" s="335"/>
      <c r="F14" s="335"/>
      <c r="G14" s="335"/>
      <c r="H14" s="335"/>
      <c r="I14" s="43">
        <v>10</v>
      </c>
      <c r="J14" s="118">
        <f>SUM(J5:J13)</f>
        <v>212124192</v>
      </c>
      <c r="K14" s="118">
        <f>SUM(K5:K13)</f>
        <v>246991924</v>
      </c>
    </row>
    <row r="15" spans="1:11" ht="12.75">
      <c r="A15" s="332" t="s">
        <v>274</v>
      </c>
      <c r="B15" s="333"/>
      <c r="C15" s="333"/>
      <c r="D15" s="333"/>
      <c r="E15" s="333"/>
      <c r="F15" s="333"/>
      <c r="G15" s="333"/>
      <c r="H15" s="333"/>
      <c r="I15" s="43">
        <v>11</v>
      </c>
      <c r="J15" s="45"/>
      <c r="K15" s="45"/>
    </row>
    <row r="16" spans="1:11" ht="12.75">
      <c r="A16" s="332" t="s">
        <v>275</v>
      </c>
      <c r="B16" s="333"/>
      <c r="C16" s="333"/>
      <c r="D16" s="333"/>
      <c r="E16" s="333"/>
      <c r="F16" s="333"/>
      <c r="G16" s="333"/>
      <c r="H16" s="333"/>
      <c r="I16" s="43">
        <v>12</v>
      </c>
      <c r="J16" s="45"/>
      <c r="K16" s="45"/>
    </row>
    <row r="17" spans="1:11" ht="12.75">
      <c r="A17" s="332" t="s">
        <v>276</v>
      </c>
      <c r="B17" s="333"/>
      <c r="C17" s="333"/>
      <c r="D17" s="333"/>
      <c r="E17" s="333"/>
      <c r="F17" s="333"/>
      <c r="G17" s="333"/>
      <c r="H17" s="333"/>
      <c r="I17" s="43">
        <v>13</v>
      </c>
      <c r="J17" s="45"/>
      <c r="K17" s="45"/>
    </row>
    <row r="18" spans="1:11" ht="12.75">
      <c r="A18" s="332" t="s">
        <v>277</v>
      </c>
      <c r="B18" s="333"/>
      <c r="C18" s="333"/>
      <c r="D18" s="333"/>
      <c r="E18" s="333"/>
      <c r="F18" s="333"/>
      <c r="G18" s="333"/>
      <c r="H18" s="333"/>
      <c r="I18" s="43">
        <v>14</v>
      </c>
      <c r="J18" s="45"/>
      <c r="K18" s="45"/>
    </row>
    <row r="19" spans="1:11" ht="12.75">
      <c r="A19" s="332" t="s">
        <v>278</v>
      </c>
      <c r="B19" s="333"/>
      <c r="C19" s="333"/>
      <c r="D19" s="333"/>
      <c r="E19" s="333"/>
      <c r="F19" s="333"/>
      <c r="G19" s="333"/>
      <c r="H19" s="333"/>
      <c r="I19" s="43">
        <v>15</v>
      </c>
      <c r="J19" s="45"/>
      <c r="K19" s="45"/>
    </row>
    <row r="20" spans="1:11" ht="12.75">
      <c r="A20" s="332" t="s">
        <v>279</v>
      </c>
      <c r="B20" s="333"/>
      <c r="C20" s="333"/>
      <c r="D20" s="333"/>
      <c r="E20" s="333"/>
      <c r="F20" s="333"/>
      <c r="G20" s="333"/>
      <c r="H20" s="333"/>
      <c r="I20" s="43">
        <v>16</v>
      </c>
      <c r="J20" s="45"/>
      <c r="K20" s="45"/>
    </row>
    <row r="21" spans="1:11" ht="12.75">
      <c r="A21" s="334" t="s">
        <v>280</v>
      </c>
      <c r="B21" s="335"/>
      <c r="C21" s="335"/>
      <c r="D21" s="335"/>
      <c r="E21" s="335"/>
      <c r="F21" s="335"/>
      <c r="G21" s="335"/>
      <c r="H21" s="335"/>
      <c r="I21" s="43">
        <v>17</v>
      </c>
      <c r="J21" s="121">
        <f>SUM(J15:J20)</f>
        <v>0</v>
      </c>
      <c r="K21" s="121">
        <f>SUM(K15:K20)</f>
        <v>0</v>
      </c>
    </row>
    <row r="22" spans="1:11" ht="12.75">
      <c r="A22" s="344"/>
      <c r="B22" s="345"/>
      <c r="C22" s="345"/>
      <c r="D22" s="345"/>
      <c r="E22" s="345"/>
      <c r="F22" s="345"/>
      <c r="G22" s="345"/>
      <c r="H22" s="345"/>
      <c r="I22" s="346"/>
      <c r="J22" s="346"/>
      <c r="K22" s="347"/>
    </row>
    <row r="23" spans="1:11" ht="12.75">
      <c r="A23" s="336" t="s">
        <v>281</v>
      </c>
      <c r="B23" s="337"/>
      <c r="C23" s="337"/>
      <c r="D23" s="337"/>
      <c r="E23" s="337"/>
      <c r="F23" s="337"/>
      <c r="G23" s="337"/>
      <c r="H23" s="337"/>
      <c r="I23" s="46">
        <v>18</v>
      </c>
      <c r="J23" s="44">
        <f>+J14</f>
        <v>212124192</v>
      </c>
      <c r="K23" s="44">
        <f>+K14-5000</f>
        <v>246986924</v>
      </c>
    </row>
    <row r="24" spans="1:11" ht="17.25" customHeight="1">
      <c r="A24" s="338" t="s">
        <v>282</v>
      </c>
      <c r="B24" s="339"/>
      <c r="C24" s="339"/>
      <c r="D24" s="339"/>
      <c r="E24" s="339"/>
      <c r="F24" s="339"/>
      <c r="G24" s="339"/>
      <c r="H24" s="339"/>
      <c r="I24" s="47">
        <v>19</v>
      </c>
      <c r="J24" s="70">
        <v>0</v>
      </c>
      <c r="K24" s="70">
        <v>5000</v>
      </c>
    </row>
    <row r="25" spans="1:11" ht="30" customHeight="1">
      <c r="A25" s="340" t="s">
        <v>283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J14" sqref="J14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48" t="s">
        <v>260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49" t="s">
        <v>294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ht="12.7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2.75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</row>
    <row r="7" spans="1:10" ht="12.75" customHeight="1">
      <c r="A7" s="349"/>
      <c r="B7" s="349"/>
      <c r="C7" s="349"/>
      <c r="D7" s="349"/>
      <c r="E7" s="349"/>
      <c r="F7" s="349"/>
      <c r="G7" s="349"/>
      <c r="H7" s="349"/>
      <c r="I7" s="349"/>
      <c r="J7" s="349"/>
    </row>
    <row r="8" spans="1:10" ht="12.75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</row>
    <row r="9" spans="1:10" ht="12.75" customHeight="1">
      <c r="A9" s="349"/>
      <c r="B9" s="349"/>
      <c r="C9" s="349"/>
      <c r="D9" s="349"/>
      <c r="E9" s="349"/>
      <c r="F9" s="349"/>
      <c r="G9" s="349"/>
      <c r="H9" s="349"/>
      <c r="I9" s="349"/>
      <c r="J9" s="349"/>
    </row>
    <row r="10" spans="1:10" ht="12.75" customHeight="1">
      <c r="A10" s="349"/>
      <c r="B10" s="349"/>
      <c r="C10" s="349"/>
      <c r="D10" s="349"/>
      <c r="E10" s="349"/>
      <c r="F10" s="349"/>
      <c r="G10" s="349"/>
      <c r="H10" s="349"/>
      <c r="I10" s="349"/>
      <c r="J10" s="349"/>
    </row>
    <row r="11" spans="1:10" ht="12.75">
      <c r="A11" s="350"/>
      <c r="B11" s="350"/>
      <c r="C11" s="350"/>
      <c r="D11" s="350"/>
      <c r="E11" s="350"/>
      <c r="F11" s="350"/>
      <c r="G11" s="350"/>
      <c r="H11" s="350"/>
      <c r="I11" s="350"/>
      <c r="J11" s="35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2017-10-26T13:12:44Z</cp:lastPrinted>
  <dcterms:created xsi:type="dcterms:W3CDTF">2008-10-17T11:51:54Z</dcterms:created>
  <dcterms:modified xsi:type="dcterms:W3CDTF">2018-02-27T09:25:35Z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