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27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<sst xmlns="http://schemas.openxmlformats.org/spreadsheetml/2006/main" count="391" uniqueCount="343">
  <si>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</si>
  <si>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</si>
  <si>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</si>
  <si>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</si>
  <si>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</si>
  <si>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</si>
  <si>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</si>
  <si>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</si>
  <si>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</si>
  <si>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</si>
  <si>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</si>
  <si>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</si>
  <si>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</si>
  <si>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</si>
  <si>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</si>
  <si>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</si>
  <si>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</si>
  <si>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</si>
  <si>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</si>
  <si>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</si>
  <si>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</si>
  <si>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</si>
  <si>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</si>
  <si>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</si>
  <si>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</si>
  <si>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</si>
  <si>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</si>
  <si>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</si>
  <si>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</si>
  <si>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</si>
  <si>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</si>
  <si>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</si>
  <si>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</si>
  <si>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</si>
  <si>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</si>
  <si>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</si>
  <si>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</si>
  <si>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</si>
  <si>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</si>
  <si>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</si>
  <si>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</si>
  <si>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</si>
  <si>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</si>
  <si>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</si>
  <si>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</si>
  <si>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</si>
  <si>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</si>
  <si>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</si>
  <si>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</si>
  <si>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</si>
  <si>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</si>
  <si>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</si>
  <si>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</si>
  <si>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</si>
  <si>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</si>
  <si>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</si>
  <si>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</si>
  <si>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</si>
  <si>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</si>
  <si>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</si>
  <si>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</si>
  <si>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</si>
  <si>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</si>
  <si>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</si>
  <si>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</si>
  <si>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</si>
  <si>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</si>
  <si>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</si>
  <si>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</si>
  <si>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</si>
  <si>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</si>
  <si>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</si>
  <si>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</si>
  <si>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</si>
  <si>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</si>
  <si>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</si>
  <si>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</si>
  <si>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</si>
  <si>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</si>
  <si>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</si>
  <si>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</si>
  <si>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</si>
  <si>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</si>
  <si>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</si>
  <si>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</si>
  <si>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</si>
  <si>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</si>
  <si>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</si>
  <si>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</si>
  <si>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</si>
  <si>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</si>
  <si>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</si>
  <si>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</si>
  <si>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</si>
  <si>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</si>
  <si>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</si>
  <si>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</si>
  <si>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</si>
  <si>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</si>
  <si>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</si>
  <si>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</si>
  <si>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</si>
  <si>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</si>
  <si>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</si>
  <si>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</si>
  <si>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</si>
  <si>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</si>
  <si>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</si>
  <si>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</si>
  <si>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</si>
  <si>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</si>
  <si>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</si>
  <si>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</si>
  <si>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</si>
  <si>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</si>
  <si>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</si>
  <si>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</si>
  <si>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</si>
  <si>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</si>
  <si>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</si>
  <si>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</si>
  <si>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</si>
  <si>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</si>
  <si>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</si>
  <si>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</si>
  <si>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</si>
  <si>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</si>
  <si>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</si>
  <si>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</si>
  <si>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</si>
  <si>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</si>
  <si>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</si>
  <si>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</si>
  <si>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</si>
  <si>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</si>
  <si>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</si>
  <si>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</si>
  <si>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</si>
  <si>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</si>
  <si>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</si>
  <si>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</si>
  <si>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</si>
  <si>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</si>
  <si>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</si>
  <si>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</si>
  <si>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</si>
  <si>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</si>
  <si>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</si>
  <si>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</si>
  <si>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</si>
  <si>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</si>
  <si>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</si>
  <si>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</si>
  <si>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</si>
  <si>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</si>
  <si>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</si>
  <si>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</si>
  <si>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</si>
  <si>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</si>
  <si>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</si>
  <si>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</si>
  <si>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</si>
  <si>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</si>
  <si>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</si>
  <si>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</si>
  <si>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</si>
  <si>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</si>
  <si>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</si>
  <si>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</si>
  <si>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</si>
  <si>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</si>
  <si>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</si>
  <si>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</si>
  <si>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</si>
  <si>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</si>
  <si>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</si>
  <si>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</si>
  <si>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</si>
  <si>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</si>
  <si>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</si>
  <si>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</si>
  <si>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</si>
  <si>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</si>
  <si>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</si>
  <si>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</si>
  <si>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</si>
  <si>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</si>
  <si>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</si>
  <si>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</si>
  <si>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</si>
  <si>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</si>
  <si>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</si>
  <si>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</si>
  <si>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</si>
  <si>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</si>
  <si>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</si>
  <si>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</si>
  <si>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</si>
  <si>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</si>
  <si>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</si>
  <si>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</si>
  <si>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</si>
  <si>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</si>
  <si>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</si>
  <si>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</si>
  <si>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</si>
  <si>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</si>
  <si>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</si>
  <si>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</si>
  <si>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</si>
  <si>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</si>
  <si>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</si>
  <si>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</si>
  <si>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</si>
  <si>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</si>
  <si>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</si>
  <si>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</si>
  <si>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</si>
  <si>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</si>
  <si>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</si>
  <si>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</si>
  <si>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</si>
  <si>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</si>
  <si>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</si>
  <si>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</si>
  <si>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</si>
  <si>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</si>
  <si>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</si>
  <si>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</si>
  <si>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</si>
  <si>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</si>
  <si>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</si>
  <si>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</si>
  <si>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</si>
  <si>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</si>
  <si>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</si>
  <si>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</si>
  <si>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</si>
  <si>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</si>
  <si>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</si>
  <si>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</si>
  <si>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</si>
  <si>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</si>
  <si>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</si>
  <si>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</si>
  <si>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</si>
  <si>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</si>
  <si>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</si>
  <si>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</si>
  <si>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</si>
  <si>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</si>
  <si>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</si>
  <si>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</si>
  <si>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</si>
  <si>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</si>
  <si>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</si>
  <si>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</si>
  <si>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</si>
  <si>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</si>
  <si>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</si>
  <si>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</si>
  <si>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</si>
  <si>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</si>
  <si>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</si>
  <si>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</si>
  <si>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</si>
  <si>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</si>
  <si>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</si>
  <si>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</si>
  <si>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</si>
  <si>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</si>
  <si>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</si>
  <si>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</si>
  <si>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</si>
  <si>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</si>
  <si>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</si>
  <si>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</si>
  <si>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</si>
  <si>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</si>
  <si>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</si>
  <si>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</si>
  <si>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</si>
  <si>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</si>
  <si>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</si>
  <si>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</si>
  <si>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</si>
  <si>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</si>
  <si>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</si>
  <si>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</si>
  <si>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</si>
  <si>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</si>
  <si>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</si>
  <si>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</si>
  <si>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</si>
  <si>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</si>
  <si>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</si>
  <si>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</si>
  <si>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</si>
  <si>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</si>
  <si>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</si>
  <si>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</si>
  <si>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</si>
  <si>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</si>
  <si>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</si>
  <si>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</si>
  <si>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</si>
  <si>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</si>
  <si>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</si>
  <si>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</si>
  <si>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</si>
  <si>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</si>
  <si>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</si>
  <si>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</si>
  <si>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</si>
  <si>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</si>
  <si>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</si>
  <si>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</si>
  <si>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</si>
  <si>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</si>
  <si>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</si>
  <si>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</si>
  <si>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</si>
  <si>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</si>
  <si>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</si>
  <si>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</si>
  <si>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</si>
  <si>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</si>
  <si>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</si>
  <si>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</si>
  <si>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</si>
  <si>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</si>
  <si>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</si>
  <si>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Primorsko-Goranska</t>
  </si>
  <si>
    <t>NE</t>
  </si>
  <si>
    <t>3011</t>
  </si>
  <si>
    <t>Divna Pjevalica</t>
  </si>
  <si>
    <t>051/405616</t>
  </si>
  <si>
    <t>051/217-304</t>
  </si>
  <si>
    <t>viktor.lenac@lena.hr</t>
  </si>
  <si>
    <t>Sandra Uzelac; Aljoša Pavelin</t>
  </si>
  <si>
    <t>stanje na dan 31.12.2017.</t>
  </si>
  <si>
    <t>Obveznik: Brodogradilište Viktor Lenac d.d.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</si>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</sst>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" fillId="33" borderId="27" xfId="58" applyFont="1" applyFill="1" applyBorder="1" applyAlignment="1" applyProtection="1">
      <alignment vertical="center"/>
      <protection hidden="1" locked="0"/>
    </xf>
    <xf numFmtId="1" fontId="2" fillId="33" borderId="19" xfId="58" applyNumberFormat="1" applyFont="1" applyFill="1" applyBorder="1" applyAlignment="1" applyProtection="1">
      <alignment horizontal="left" vertical="center"/>
      <protection hidden="1" locked="0"/>
    </xf>
    <xf numFmtId="1" fontId="2" fillId="33" borderId="27" xfId="58" applyNumberFormat="1" applyFont="1" applyFill="1" applyBorder="1" applyAlignment="1" applyProtection="1">
      <alignment vertical="center"/>
      <protection hidden="1" locked="0"/>
    </xf>
    <xf numFmtId="1" fontId="2" fillId="33" borderId="25" xfId="58" applyNumberFormat="1" applyFont="1" applyFill="1" applyBorder="1" applyAlignment="1" applyProtection="1">
      <alignment vertical="center"/>
      <protection hidden="1" locked="0"/>
    </xf>
    <xf numFmtId="1" fontId="2" fillId="33" borderId="28" xfId="58" applyNumberFormat="1" applyFont="1" applyFill="1" applyBorder="1" applyAlignment="1" applyProtection="1">
      <alignment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viktor.lenac@le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1" t="s">
        <v>256</v>
      </c>
      <c r="B1" s="141"/>
      <c r="C1" s="14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2" t="s">
        <v>324</v>
      </c>
      <c r="D6" s="143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42" t="s">
        <v>325</v>
      </c>
      <c r="D8" s="143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42" t="s">
        <v>326</v>
      </c>
      <c r="D10" s="14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44" t="s">
        <v>327</v>
      </c>
      <c r="D12" s="167"/>
      <c r="E12" s="167"/>
      <c r="F12" s="167"/>
      <c r="G12" s="167"/>
      <c r="H12" s="167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8">
        <v>51000</v>
      </c>
      <c r="D14" s="169"/>
      <c r="E14" s="31"/>
      <c r="F14" s="144" t="s">
        <v>328</v>
      </c>
      <c r="G14" s="167"/>
      <c r="H14" s="167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44" t="s">
        <v>329</v>
      </c>
      <c r="D16" s="167"/>
      <c r="E16" s="167"/>
      <c r="F16" s="167"/>
      <c r="G16" s="167"/>
      <c r="H16" s="167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60" t="s">
        <v>330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60" t="s">
        <v>331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373</v>
      </c>
      <c r="D22" s="144"/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119" t="s">
        <v>332</v>
      </c>
      <c r="D24" s="118"/>
      <c r="E24" s="120"/>
      <c r="F24" s="121"/>
      <c r="G24" s="122"/>
      <c r="H24" s="38" t="s">
        <v>270</v>
      </c>
      <c r="I24" s="48">
        <v>488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9" t="s">
        <v>333</v>
      </c>
      <c r="D26" s="50"/>
      <c r="E26" s="22"/>
      <c r="F26" s="51"/>
      <c r="G26" s="130" t="s">
        <v>273</v>
      </c>
      <c r="H26" s="131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1"/>
      <c r="B30" s="145"/>
      <c r="C30" s="145"/>
      <c r="D30" s="146"/>
      <c r="E30" s="151"/>
      <c r="F30" s="145"/>
      <c r="G30" s="145"/>
      <c r="H30" s="142"/>
      <c r="I30" s="143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51"/>
      <c r="B32" s="145"/>
      <c r="C32" s="145"/>
      <c r="D32" s="146"/>
      <c r="E32" s="151"/>
      <c r="F32" s="145"/>
      <c r="G32" s="145"/>
      <c r="H32" s="142"/>
      <c r="I32" s="14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1"/>
      <c r="B34" s="145"/>
      <c r="C34" s="145"/>
      <c r="D34" s="146"/>
      <c r="E34" s="151"/>
      <c r="F34" s="145"/>
      <c r="G34" s="145"/>
      <c r="H34" s="142"/>
      <c r="I34" s="14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1"/>
      <c r="B36" s="145"/>
      <c r="C36" s="145"/>
      <c r="D36" s="146"/>
      <c r="E36" s="151"/>
      <c r="F36" s="145"/>
      <c r="G36" s="145"/>
      <c r="H36" s="142"/>
      <c r="I36" s="143"/>
      <c r="J36" s="22"/>
      <c r="K36" s="22"/>
      <c r="L36" s="22"/>
    </row>
    <row r="37" spans="1:12" ht="12.75">
      <c r="A37" s="59"/>
      <c r="B37" s="59"/>
      <c r="C37" s="147"/>
      <c r="D37" s="148"/>
      <c r="E37" s="31"/>
      <c r="F37" s="147"/>
      <c r="G37" s="148"/>
      <c r="H37" s="31"/>
      <c r="I37" s="31"/>
      <c r="J37" s="22"/>
      <c r="K37" s="22"/>
      <c r="L37" s="22"/>
    </row>
    <row r="38" spans="1:12" ht="12.75">
      <c r="A38" s="151"/>
      <c r="B38" s="145"/>
      <c r="C38" s="145"/>
      <c r="D38" s="146"/>
      <c r="E38" s="151"/>
      <c r="F38" s="145"/>
      <c r="G38" s="145"/>
      <c r="H38" s="142"/>
      <c r="I38" s="14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1"/>
      <c r="B40" s="145"/>
      <c r="C40" s="145"/>
      <c r="D40" s="146"/>
      <c r="E40" s="151"/>
      <c r="F40" s="145"/>
      <c r="G40" s="145"/>
      <c r="H40" s="142"/>
      <c r="I40" s="14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5" t="s">
        <v>277</v>
      </c>
      <c r="B44" s="126"/>
      <c r="C44" s="142"/>
      <c r="D44" s="143"/>
      <c r="E44" s="32"/>
      <c r="F44" s="144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47"/>
      <c r="D45" s="148"/>
      <c r="E45" s="31"/>
      <c r="F45" s="147"/>
      <c r="G45" s="149"/>
      <c r="H45" s="67"/>
      <c r="I45" s="67"/>
      <c r="J45" s="22"/>
      <c r="K45" s="22"/>
      <c r="L45" s="22"/>
    </row>
    <row r="46" spans="1:12" ht="12.75">
      <c r="A46" s="125" t="s">
        <v>278</v>
      </c>
      <c r="B46" s="126"/>
      <c r="C46" s="144" t="s">
        <v>335</v>
      </c>
      <c r="D46" s="150"/>
      <c r="E46" s="150"/>
      <c r="F46" s="150"/>
      <c r="G46" s="150"/>
      <c r="H46" s="150"/>
      <c r="I46" s="15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5" t="s">
        <v>280</v>
      </c>
      <c r="B48" s="126"/>
      <c r="C48" s="132" t="s">
        <v>336</v>
      </c>
      <c r="D48" s="128"/>
      <c r="E48" s="129"/>
      <c r="F48" s="32"/>
      <c r="G48" s="38" t="s">
        <v>281</v>
      </c>
      <c r="H48" s="132" t="s">
        <v>337</v>
      </c>
      <c r="I48" s="129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5" t="s">
        <v>266</v>
      </c>
      <c r="B50" s="126"/>
      <c r="C50" s="127" t="s">
        <v>338</v>
      </c>
      <c r="D50" s="128"/>
      <c r="E50" s="128"/>
      <c r="F50" s="128"/>
      <c r="G50" s="128"/>
      <c r="H50" s="128"/>
      <c r="I50" s="12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32" t="s">
        <v>339</v>
      </c>
      <c r="D52" s="128"/>
      <c r="E52" s="128"/>
      <c r="F52" s="128"/>
      <c r="G52" s="128"/>
      <c r="H52" s="128"/>
      <c r="I52" s="133"/>
      <c r="J52" s="22"/>
      <c r="K52" s="22"/>
      <c r="L52" s="22"/>
    </row>
    <row r="53" spans="1:12" ht="12.75">
      <c r="A53" s="69"/>
      <c r="B53" s="69"/>
      <c r="C53" s="136" t="s">
        <v>283</v>
      </c>
      <c r="D53" s="136"/>
      <c r="E53" s="136"/>
      <c r="F53" s="136"/>
      <c r="G53" s="136"/>
      <c r="H53" s="13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4" t="s">
        <v>284</v>
      </c>
      <c r="C55" s="135"/>
      <c r="D55" s="135"/>
      <c r="E55" s="135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40" t="s">
        <v>317</v>
      </c>
      <c r="I56" s="140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40"/>
      <c r="I57" s="140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40"/>
      <c r="I58" s="140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40"/>
      <c r="I59" s="140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40"/>
      <c r="I60" s="14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3"/>
      <c r="H64" s="12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A26:B26"/>
    <mergeCell ref="A22:B22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viktor.lenac@le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340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9" t="s">
        <v>341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7" t="s">
        <v>288</v>
      </c>
      <c r="J5" s="78" t="s">
        <v>115</v>
      </c>
      <c r="K5" s="79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2">
        <f>J10+J17+J27+J36+J40</f>
        <v>286751894</v>
      </c>
      <c r="K9" s="12">
        <f>K10+K17+K27+K36+K40</f>
        <v>294254725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7420109</v>
      </c>
      <c r="K10" s="12">
        <f>SUM(K11:K16)</f>
        <v>8579730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7340645</v>
      </c>
      <c r="K12" s="13">
        <v>8579730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79464</v>
      </c>
      <c r="K15" s="13"/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269277644</v>
      </c>
      <c r="K17" s="12">
        <f>SUM(K18:K26)</f>
        <v>275522134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5545687</v>
      </c>
      <c r="K18" s="13">
        <v>5545687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4755806</v>
      </c>
      <c r="K19" s="13">
        <v>4498582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244087638</v>
      </c>
      <c r="K20" s="13">
        <v>258302602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6069499</v>
      </c>
      <c r="K21" s="13">
        <v>6344808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1471486</v>
      </c>
      <c r="K23" s="13">
        <v>67926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7347528</v>
      </c>
      <c r="K24" s="13">
        <v>762529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10015031</v>
      </c>
      <c r="K27" s="12">
        <f>SUM(K28:K35)</f>
        <v>9638435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763259</v>
      </c>
      <c r="K28" s="13">
        <v>778259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715925</v>
      </c>
      <c r="K30" s="13">
        <v>373062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8313565</v>
      </c>
      <c r="K33" s="13">
        <v>8265012</v>
      </c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222282</v>
      </c>
      <c r="K34" s="13">
        <v>222102</v>
      </c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39110</v>
      </c>
      <c r="K40" s="13">
        <v>514426</v>
      </c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2">
        <f>J42+J50+J57+J65</f>
        <v>118232607</v>
      </c>
      <c r="K41" s="12">
        <f>K42+K50+K57+K65</f>
        <v>105296016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27647209</v>
      </c>
      <c r="K42" s="12">
        <f>SUM(K43:K49)</f>
        <v>19021976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21229069</v>
      </c>
      <c r="K43" s="13">
        <v>15971812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6418140</v>
      </c>
      <c r="K44" s="13">
        <v>3050164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/>
      <c r="K45" s="13"/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/>
      <c r="K46" s="13"/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80654426</v>
      </c>
      <c r="K50" s="12">
        <f>SUM(K51:K56)</f>
        <v>54382208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0</v>
      </c>
      <c r="K51" s="13">
        <v>61329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44402894</v>
      </c>
      <c r="K52" s="13">
        <v>47226289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1764720</v>
      </c>
      <c r="K53" s="13">
        <v>165200</v>
      </c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33634</v>
      </c>
      <c r="K54" s="13">
        <v>3068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13086160</v>
      </c>
      <c r="K55" s="13">
        <v>6523071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21367018</v>
      </c>
      <c r="K56" s="13">
        <v>403251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3237328</v>
      </c>
      <c r="K57" s="12">
        <f>SUM(K58:K64)</f>
        <v>17519983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3237328</v>
      </c>
      <c r="K63" s="13">
        <f>17502343+17640</f>
        <v>17519983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6693644</v>
      </c>
      <c r="K65" s="13">
        <v>14371849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3">
        <v>16573622</v>
      </c>
      <c r="K66" s="13">
        <v>2944253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2">
        <f>J8+J9+J41+J66</f>
        <v>421558123</v>
      </c>
      <c r="K67" s="12">
        <f>K8+K9+K41+K66</f>
        <v>402494994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4"/>
      <c r="K68" s="14"/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20">
        <f>J71+J72+J73+J79+J80+J83+J86</f>
        <v>208955027</v>
      </c>
      <c r="K70" s="20">
        <f>K71+K72+K73+K79+K80+K83+K86</f>
        <v>244261812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168132470</v>
      </c>
      <c r="K71" s="13">
        <v>168132470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39476658</v>
      </c>
      <c r="K73" s="12">
        <f>K74+K75-K76+K77+K78</f>
        <v>39490848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8406624</v>
      </c>
      <c r="K74" s="13">
        <v>8406624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12540000</v>
      </c>
      <c r="K75" s="13">
        <v>12540000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8055772</v>
      </c>
      <c r="K76" s="13">
        <v>8055772</v>
      </c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26585806</v>
      </c>
      <c r="K78" s="13">
        <v>26599996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-107216</v>
      </c>
      <c r="K79" s="13">
        <v>-388364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/>
      <c r="K81" s="13"/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1453115</v>
      </c>
      <c r="K83" s="12">
        <f>K84-K85</f>
        <v>37026858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1453115</v>
      </c>
      <c r="K84" s="13">
        <v>37026858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2">
        <f>SUM(J88:J90)</f>
        <v>1806943</v>
      </c>
      <c r="K87" s="12">
        <f>SUM(K88:K90)</f>
        <v>3904585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985400</v>
      </c>
      <c r="K88" s="13">
        <v>2223944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f>754774+66769</f>
        <v>821543</v>
      </c>
      <c r="K90" s="13">
        <f>1533909+146732</f>
        <v>1680641</v>
      </c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2">
        <f>SUM(J92:J100)</f>
        <v>71768870</v>
      </c>
      <c r="K91" s="12">
        <f>SUM(K92:K100)</f>
        <v>63841057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52427610</v>
      </c>
      <c r="K94" s="13">
        <v>46877286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19328954</v>
      </c>
      <c r="K99" s="13">
        <v>16963771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12306</v>
      </c>
      <c r="K100" s="13">
        <v>0</v>
      </c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2">
        <f>SUM(J102:J113)</f>
        <v>134668023</v>
      </c>
      <c r="K101" s="12">
        <f>SUM(K102:K113)</f>
        <v>86887918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1628385</v>
      </c>
      <c r="K102" s="13">
        <v>1420285</v>
      </c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46537384</v>
      </c>
      <c r="K104" s="13">
        <v>15551811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6478269</v>
      </c>
      <c r="K105" s="13">
        <v>1029860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69578067</v>
      </c>
      <c r="K106" s="13">
        <v>49643486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142601</v>
      </c>
      <c r="K108" s="13">
        <v>55890</v>
      </c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3739132</v>
      </c>
      <c r="K109" s="13">
        <v>3977472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2640225</v>
      </c>
      <c r="K110" s="13">
        <v>11721690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3923960</v>
      </c>
      <c r="K113" s="13">
        <v>3487424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3">
        <v>4359260</v>
      </c>
      <c r="K114" s="13">
        <v>3599622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2">
        <f>J70+J87+J91+J101+J114</f>
        <v>421558123</v>
      </c>
      <c r="K115" s="12">
        <f>K70+K87+K91+K101+K114</f>
        <v>402494994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f>+J115-J67</f>
        <v>0</v>
      </c>
      <c r="K119" s="13">
        <f>+K115-K67</f>
        <v>0</v>
      </c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I25" sqref="I25"/>
    </sheetView>
  </sheetViews>
  <sheetFormatPr defaultColWidth="9.140625" defaultRowHeight="12.75"/>
  <cols>
    <col min="8" max="8" width="3.7109375" style="0" customWidth="1"/>
    <col min="10" max="11" width="9.8515625" style="0" bestFit="1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342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7" t="str">
        <f>+Bilanca!A4</f>
        <v>Obveznik: Brodogradilište Viktor Lenac d.d.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" thickBot="1">
      <c r="A5" s="230" t="s">
        <v>61</v>
      </c>
      <c r="B5" s="230"/>
      <c r="C5" s="230"/>
      <c r="D5" s="230"/>
      <c r="E5" s="230"/>
      <c r="F5" s="230"/>
      <c r="G5" s="230"/>
      <c r="H5" s="230"/>
      <c r="I5" s="77" t="s">
        <v>290</v>
      </c>
      <c r="J5" s="79" t="s">
        <v>156</v>
      </c>
      <c r="K5" s="79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20">
        <f>SUM(J8:J9)</f>
        <v>302647904</v>
      </c>
      <c r="K7" s="20">
        <f>SUM(K8:K9)</f>
        <v>514005595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3">
        <f>103480+261456360</f>
        <v>261559840</v>
      </c>
      <c r="K8" s="13">
        <v>480494796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3">
        <f>258067+12075809+28754188</f>
        <v>41088064</v>
      </c>
      <c r="K9" s="13">
        <f>26685715+6825084</f>
        <v>33510799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295923993</v>
      </c>
      <c r="K10" s="12">
        <f>K11+K12+K16+K20+K21+K22+K25+K26</f>
        <v>460398516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>
        <v>7676652</v>
      </c>
      <c r="K11" s="13">
        <v>3367976</v>
      </c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2">
        <f>SUM(J13:J15)</f>
        <v>185293999</v>
      </c>
      <c r="K12" s="12">
        <f>SUM(K13:K15)</f>
        <v>337383753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48611296</v>
      </c>
      <c r="K13" s="13">
        <v>76193158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/>
      <c r="K14" s="13"/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136682703</v>
      </c>
      <c r="K15" s="13">
        <v>261190595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2">
        <f>SUM(J17:J19)</f>
        <v>62292929</v>
      </c>
      <c r="K16" s="12">
        <f>SUM(K17:K19)</f>
        <v>65186823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36953946</v>
      </c>
      <c r="K17" s="13">
        <v>39311125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15555789</v>
      </c>
      <c r="K18" s="13">
        <v>15651631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9783194</v>
      </c>
      <c r="K19" s="13">
        <v>10224067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3">
        <v>21831754</v>
      </c>
      <c r="K20" s="13">
        <v>26501036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3">
        <v>16944874</v>
      </c>
      <c r="K21" s="13">
        <v>18359386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2">
        <f>SUM(J23:J24)</f>
        <v>318248</v>
      </c>
      <c r="K22" s="12">
        <f>SUM(K23:K24)</f>
        <v>4525953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318248</v>
      </c>
      <c r="K24" s="13">
        <v>4525953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3">
        <v>991156</v>
      </c>
      <c r="K25" s="13">
        <v>3393797</v>
      </c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3">
        <v>574381</v>
      </c>
      <c r="K26" s="13">
        <v>1679792</v>
      </c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2">
        <f>SUM(J28:J32)</f>
        <v>2913081</v>
      </c>
      <c r="K27" s="12">
        <f>SUM(K28:K32)</f>
        <v>7223914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>
        <v>24304</v>
      </c>
      <c r="K28" s="13">
        <v>9845</v>
      </c>
    </row>
    <row r="29" spans="1:11" ht="12.75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f>266965+2570437</f>
        <v>2837402</v>
      </c>
      <c r="K29" s="13">
        <f>7223914-9845</f>
        <v>7214069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/>
      <c r="K31" s="13"/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51375</v>
      </c>
      <c r="K32" s="13">
        <v>0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2">
        <f>SUM(J34:J37)</f>
        <v>7554220</v>
      </c>
      <c r="K33" s="12">
        <f>SUM(K34:K37)</f>
        <v>15234924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/>
      <c r="K34" s="13"/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7554220</v>
      </c>
      <c r="K35" s="13">
        <v>15234924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/>
      <c r="K36" s="13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/>
      <c r="K37" s="13"/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2">
        <f>J7+J27+J38+J40</f>
        <v>305560985</v>
      </c>
      <c r="K42" s="12">
        <f>K7+K27+K38+K40</f>
        <v>521229509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2">
        <f>J10+J33+J39+J41</f>
        <v>303478213</v>
      </c>
      <c r="K43" s="12">
        <f>K10+K33+K39+K41</f>
        <v>475633440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2">
        <f>J42-J43</f>
        <v>2082772</v>
      </c>
      <c r="K44" s="12">
        <f>K42-K43</f>
        <v>45596069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2082772</v>
      </c>
      <c r="K45" s="12">
        <f>IF(K42&gt;K43,K42-K43,0)</f>
        <v>45596069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629657</v>
      </c>
      <c r="K47" s="13">
        <v>8569211</v>
      </c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2">
        <f>J44-J47</f>
        <v>1453115</v>
      </c>
      <c r="K48" s="12">
        <f>K44-K47</f>
        <v>37026858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1453115</v>
      </c>
      <c r="K49" s="12">
        <f>IF(K48&gt;0,K48,0)</f>
        <v>37026858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4"/>
      <c r="J51" s="234"/>
      <c r="K51" s="23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>
        <f>+J49</f>
        <v>1453115</v>
      </c>
      <c r="K53" s="13">
        <f>+K49</f>
        <v>37026858</v>
      </c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/>
      <c r="K54" s="14"/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4"/>
      <c r="J55" s="234"/>
      <c r="K55" s="23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1">
        <v>157</v>
      </c>
      <c r="J56" s="11">
        <f>+J53</f>
        <v>1453115</v>
      </c>
      <c r="K56" s="11">
        <f>+K53</f>
        <v>37026858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129450</v>
      </c>
      <c r="K57" s="12">
        <f>SUM(K58:K64)</f>
        <v>-342863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/>
      <c r="K58" s="13"/>
    </row>
    <row r="59" spans="1:11" ht="12.75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>
        <v>129450</v>
      </c>
      <c r="K60" s="13">
        <v>-342863</v>
      </c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/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>
        <v>25890</v>
      </c>
      <c r="K65" s="13">
        <v>-61715</v>
      </c>
    </row>
    <row r="66" spans="1:11" ht="12.75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103560</v>
      </c>
      <c r="K66" s="12">
        <f>K57-K65</f>
        <v>-281148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8">
        <f>J56+J66</f>
        <v>1556675</v>
      </c>
      <c r="K67" s="18">
        <f>K56+K66</f>
        <v>36745710</v>
      </c>
    </row>
    <row r="68" spans="1:11" ht="12.75">
      <c r="A68" s="211" t="s">
        <v>196</v>
      </c>
      <c r="B68" s="219"/>
      <c r="C68" s="219"/>
      <c r="D68" s="219"/>
      <c r="E68" s="219"/>
      <c r="F68" s="219"/>
      <c r="G68" s="219"/>
      <c r="H68" s="219"/>
      <c r="I68" s="234"/>
      <c r="J68" s="234"/>
      <c r="K68" s="23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/>
      <c r="K70" s="13"/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7" max="7" width="8.00390625" style="0" customWidth="1"/>
    <col min="8" max="8" width="5.28125" style="0" customWidth="1"/>
    <col min="11" max="11" width="9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342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tr">
        <f>+Bilanca!A4</f>
        <v>Obveznik: Brodogradilište Viktor Lenac d.d.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2082772</v>
      </c>
      <c r="K8" s="13">
        <v>45596069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13">
        <v>21831754</v>
      </c>
      <c r="K9" s="13">
        <v>26501036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13">
        <v>11416759</v>
      </c>
      <c r="K10" s="13"/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13"/>
      <c r="K11" s="13">
        <v>20953530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13">
        <v>3263407</v>
      </c>
      <c r="K12" s="13">
        <v>8089875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13">
        <v>3934378</v>
      </c>
      <c r="K13" s="13">
        <v>24758166</v>
      </c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42529070</v>
      </c>
      <c r="K14" s="12">
        <f>SUM(K8:K13)</f>
        <v>125898676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>
        <v>17293136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19465909</v>
      </c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27447166</v>
      </c>
      <c r="K18" s="13">
        <v>12215253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46913075</v>
      </c>
      <c r="K19" s="12">
        <f>SUM(K15:K18)</f>
        <v>29508389</v>
      </c>
    </row>
    <row r="20" spans="1:11" ht="12.75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0</v>
      </c>
      <c r="K20" s="12">
        <f>IF(K14&gt;K19,K14-K19,0)</f>
        <v>96390287</v>
      </c>
    </row>
    <row r="21" spans="1:11" ht="12.75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9">
        <f>IF(J19&gt;J14,J19-J14,0)</f>
        <v>4384005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13">
        <v>0</v>
      </c>
      <c r="K23" s="13">
        <v>1650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13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13">
        <v>228342</v>
      </c>
      <c r="K25" s="13">
        <v>226437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13">
        <v>24304</v>
      </c>
      <c r="K26" s="13">
        <v>9845</v>
      </c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13">
        <v>335500</v>
      </c>
      <c r="K27" s="13">
        <v>125445</v>
      </c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588146</v>
      </c>
      <c r="K28" s="12">
        <f>SUM(K23:K27)</f>
        <v>363377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13">
        <v>41811341</v>
      </c>
      <c r="K29" s="13">
        <v>36826422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13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13">
        <v>28634</v>
      </c>
      <c r="K31" s="13">
        <v>0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9">
        <f>SUM(J29:J31)</f>
        <v>41839975</v>
      </c>
      <c r="K32" s="12">
        <f>SUM(K29:K31)</f>
        <v>36826422</v>
      </c>
    </row>
    <row r="33" spans="1:11" ht="12.75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IF(J32&gt;J28,J32-J28,0)</f>
        <v>41251829</v>
      </c>
      <c r="K34" s="12">
        <f>IF(K32&gt;K28,K32-K28,0)</f>
        <v>36463045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40549206</v>
      </c>
      <c r="K37" s="13">
        <v>11826440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9">
        <f>SUM(J36:J38)</f>
        <v>40549206</v>
      </c>
      <c r="K39" s="12">
        <f>SUM(K36:K38)</f>
        <v>11826440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13">
        <v>12790239</v>
      </c>
      <c r="K40" s="13">
        <v>48213451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13">
        <v>11991045</v>
      </c>
      <c r="K41" s="13">
        <v>1438925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9">
        <f>SUM(J40:J44)</f>
        <v>24781284</v>
      </c>
      <c r="K45" s="12">
        <f>SUM(K40:K44)</f>
        <v>49652376</v>
      </c>
    </row>
    <row r="46" spans="1:11" ht="12.75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IF(J39&gt;J45,J39-J45,0)</f>
        <v>15767922</v>
      </c>
      <c r="K46" s="12">
        <f>IF(K39&gt;K45,K39-K45,0)</f>
        <v>0</v>
      </c>
    </row>
    <row r="47" spans="1:11" ht="12.75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IF(J45&gt;J39,J45-J39,0)</f>
        <v>0</v>
      </c>
      <c r="K47" s="12">
        <f>IF(K45&gt;K39,K45-K39,0)</f>
        <v>37825936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22101306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29867912</v>
      </c>
      <c r="K49" s="12">
        <f>IF(K21-K20+K34-K33+K47-K46&gt;0,K21-K20+K34-K33+K47-K46,0)</f>
        <v>0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39640798</v>
      </c>
      <c r="K50" s="13">
        <f>+J53</f>
        <v>9772886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f>+J48</f>
        <v>0</v>
      </c>
      <c r="K51" s="8">
        <f>+K48</f>
        <v>22101306</v>
      </c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f>+J49</f>
        <v>29867912</v>
      </c>
      <c r="K52" s="8">
        <f>+K49</f>
        <v>0</v>
      </c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9772886</v>
      </c>
      <c r="K53" s="18">
        <f>K50+K51-K52</f>
        <v>31874192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36:K38 J23:K27 J8:K13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7"/>
    </row>
    <row r="2" spans="1:12" ht="15.75">
      <c r="A2" s="95"/>
      <c r="B2" s="96"/>
      <c r="C2" s="278" t="s">
        <v>293</v>
      </c>
      <c r="D2" s="278"/>
      <c r="E2" s="100">
        <v>42736</v>
      </c>
      <c r="F2" s="99" t="s">
        <v>258</v>
      </c>
      <c r="G2" s="279">
        <v>43100</v>
      </c>
      <c r="H2" s="280"/>
      <c r="I2" s="96"/>
      <c r="J2" s="96"/>
      <c r="K2" s="96"/>
      <c r="L2" s="101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2" t="s">
        <v>316</v>
      </c>
      <c r="J3" s="103" t="s">
        <v>156</v>
      </c>
      <c r="K3" s="103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5">
        <v>2</v>
      </c>
      <c r="J4" s="104" t="s">
        <v>294</v>
      </c>
      <c r="K4" s="104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07">
        <f>+Bilanca!J71</f>
        <v>168132470</v>
      </c>
      <c r="K5" s="107">
        <f>+Bilanca!K71</f>
        <v>168132470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08"/>
      <c r="K6" s="108"/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08">
        <v>39476658</v>
      </c>
      <c r="K7" s="108">
        <f>+Bilanca!K73</f>
        <v>39490848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08"/>
      <c r="K8" s="108"/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08">
        <v>1453115</v>
      </c>
      <c r="K9" s="108">
        <f>+Bilanca!K84</f>
        <v>37026858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08"/>
      <c r="K10" s="108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08"/>
      <c r="K11" s="108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08">
        <v>-107216</v>
      </c>
      <c r="K12" s="108">
        <f>+Bilanca!K79</f>
        <v>-388364</v>
      </c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208955027</v>
      </c>
      <c r="K14" s="109">
        <f>SUM(K5:K13)</f>
        <v>244261812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111">
        <v>18</v>
      </c>
      <c r="J23" s="107">
        <f>+J14-Bilanca!J70</f>
        <v>0</v>
      </c>
      <c r="K23" s="107">
        <f>+K14-Bilanca!K70</f>
        <v>0</v>
      </c>
    </row>
    <row r="24" spans="1:11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112">
        <v>19</v>
      </c>
      <c r="J24" s="110"/>
      <c r="K24" s="110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Divna Pjevalica</cp:lastModifiedBy>
  <cp:lastPrinted>2018-04-25T09:04:58Z</cp:lastPrinted>
  <dcterms:created xsi:type="dcterms:W3CDTF">2008-10-17T11:51:54Z</dcterms:created>
  <dcterms:modified xsi:type="dcterms:W3CDTF">2018-04-25T09:06:22Z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