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<sst xmlns="http://schemas.openxmlformats.org/spreadsheetml/2006/main" count="396" uniqueCount="347">
  <si>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</si>
  <si>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</si>
  <si>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</si>
  <si>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</si>
  <si>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</si>
  <si>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</si>
  <si>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</si>
  <si>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</si>
  <si>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</si>
  <si>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</si>
  <si>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</si>
  <si>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</si>
  <si>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</si>
  <si>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</si>
  <si>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</si>
  <si>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</si>
  <si>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</si>
  <si>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</si>
  <si>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</si>
  <si>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</si>
  <si>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</si>
  <si>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</si>
  <si>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</si>
  <si>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</si>
  <si>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</si>
  <si>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</si>
  <si>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</si>
  <si>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</si>
  <si>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</si>
  <si>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</si>
  <si>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</si>
  <si>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</si>
  <si>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</si>
  <si>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</si>
  <si>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</si>
  <si>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</si>
  <si>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</si>
  <si>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</si>
  <si>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</si>
  <si>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</si>
  <si>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</si>
  <si>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</si>
  <si>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</si>
  <si>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</si>
  <si>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</si>
  <si>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</si>
  <si>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</si>
  <si>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</si>
  <si>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</si>
  <si>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</si>
  <si>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</si>
  <si>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</si>
  <si>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</si>
  <si>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</si>
  <si>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</si>
  <si>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</si>
  <si>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</si>
  <si>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</si>
  <si>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</si>
  <si>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</si>
  <si>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</si>
  <si>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</si>
  <si>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</si>
  <si>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</si>
  <si>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</si>
  <si>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</si>
  <si>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</si>
  <si>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</si>
  <si>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</si>
  <si>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</si>
  <si>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</si>
  <si>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</si>
  <si>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</si>
  <si>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</si>
  <si>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</si>
  <si>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</si>
  <si>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</si>
  <si>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</si>
  <si>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</si>
  <si>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</si>
  <si>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</si>
  <si>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</si>
  <si>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</si>
  <si>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</si>
  <si>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</si>
  <si>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</si>
  <si>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</si>
  <si>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</si>
  <si>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</si>
  <si>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</si>
  <si>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</si>
  <si>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</si>
  <si>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</si>
  <si>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</si>
  <si>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</si>
  <si>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</si>
  <si>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</si>
  <si>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</si>
  <si>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</si>
  <si>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</si>
  <si>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</si>
  <si>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</si>
  <si>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</si>
  <si>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</si>
  <si>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</si>
  <si>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</si>
  <si>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</si>
  <si>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</si>
  <si>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</si>
  <si>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</si>
  <si>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</si>
  <si>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</si>
  <si>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</si>
  <si>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</si>
  <si>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</si>
  <si>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</si>
  <si>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</si>
  <si>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</si>
  <si>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</si>
  <si>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</si>
  <si>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</si>
  <si>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</si>
  <si>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</si>
  <si>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</si>
  <si>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</si>
  <si>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</si>
  <si>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</si>
  <si>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</si>
  <si>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</si>
  <si>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</si>
  <si>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</si>
  <si>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</si>
  <si>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</si>
  <si>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</si>
  <si>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</si>
  <si>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</si>
  <si>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</si>
  <si>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</si>
  <si>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</si>
  <si>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</si>
  <si>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</si>
  <si>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</si>
  <si>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</si>
  <si>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</si>
  <si>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</si>
  <si>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</si>
  <si>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</si>
  <si>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</si>
  <si>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</si>
  <si>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</si>
  <si>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</si>
  <si>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</si>
  <si>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</si>
  <si>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</si>
  <si>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</si>
  <si>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</si>
  <si>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</si>
  <si>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</si>
  <si>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</si>
  <si>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</si>
  <si>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</si>
  <si>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</si>
  <si>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</si>
  <si>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</si>
  <si>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</si>
  <si>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</si>
  <si>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</si>
  <si>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</si>
  <si>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</si>
  <si>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</si>
  <si>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</si>
  <si>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</si>
  <si>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</si>
  <si>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</si>
  <si>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</si>
  <si>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</si>
  <si>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</si>
  <si>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</si>
  <si>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</si>
  <si>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</si>
  <si>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</si>
  <si>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</si>
  <si>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</si>
  <si>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</si>
  <si>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</si>
  <si>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</si>
  <si>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</si>
  <si>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</si>
  <si>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</si>
  <si>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</si>
  <si>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</si>
  <si>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</si>
  <si>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</si>
  <si>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</si>
  <si>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</si>
  <si>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</si>
  <si>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</si>
  <si>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</si>
  <si>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</si>
  <si>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</si>
  <si>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</si>
  <si>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</si>
  <si>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</si>
  <si>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</si>
  <si>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</si>
  <si>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</si>
  <si>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</si>
  <si>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</si>
  <si>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</si>
  <si>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</si>
  <si>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</si>
  <si>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</si>
  <si>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</si>
  <si>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</si>
  <si>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</si>
  <si>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</si>
  <si>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</si>
  <si>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</si>
  <si>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</si>
  <si>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</si>
  <si>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</si>
  <si>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</si>
  <si>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</si>
  <si>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</si>
  <si>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</si>
  <si>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</si>
  <si>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</si>
  <si>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</si>
  <si>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</si>
  <si>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</si>
  <si>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</si>
  <si>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</si>
  <si>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</si>
  <si>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</si>
  <si>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</si>
  <si>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</si>
  <si>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</si>
  <si>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</si>
  <si>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</si>
  <si>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</si>
  <si>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</si>
  <si>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</si>
  <si>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</si>
  <si>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</si>
  <si>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</si>
  <si>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</si>
  <si>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</si>
  <si>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</si>
  <si>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</si>
  <si>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</si>
  <si>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</si>
  <si>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</si>
  <si>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</si>
  <si>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</si>
  <si>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</si>
  <si>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</si>
  <si>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</si>
  <si>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</si>
  <si>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</si>
  <si>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</si>
  <si>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</si>
  <si>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</si>
  <si>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</si>
  <si>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</si>
  <si>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</si>
  <si>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</si>
  <si>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</si>
  <si>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</si>
  <si>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</si>
  <si>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</si>
  <si>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</si>
  <si>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</si>
  <si>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</si>
  <si>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</si>
  <si>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</si>
  <si>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</si>
  <si>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</si>
  <si>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</si>
  <si>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</si>
  <si>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</si>
  <si>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</si>
  <si>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</si>
  <si>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</si>
  <si>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</si>
  <si>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</si>
  <si>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</si>
  <si>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</si>
  <si>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</si>
  <si>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</si>
  <si>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</si>
  <si>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</si>
  <si>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</si>
  <si>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</si>
  <si>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</si>
  <si>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</si>
  <si>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</si>
  <si>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</si>
  <si>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</si>
  <si>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</si>
  <si>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</si>
  <si>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</si>
  <si>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</si>
  <si>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</si>
  <si>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</si>
  <si>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</si>
  <si>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</si>
  <si>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</si>
  <si>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</si>
  <si>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</si>
  <si>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</si>
  <si>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</si>
  <si>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</si>
  <si>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</si>
  <si>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</si>
  <si>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</si>
  <si>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</si>
  <si>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</si>
  <si>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</si>
  <si>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</si>
  <si>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</si>
  <si>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</si>
  <si>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</si>
  <si>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</si>
  <si>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</si>
  <si>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</si>
  <si>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</si>
  <si>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</si>
  <si>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</si>
  <si>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NE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</si>
  <si>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</si>
  <si>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</si>
  <si>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</si>
  <si>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</si>
  <si>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</si>
  <si>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</si>
  <si>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</si>
  <si>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</si>
  <si>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</si>
  <si>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</si>
  <si>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AKTIVA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</si>
  <si>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d.d.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</si>
  <si>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kunama</t>
  </si>
  <si>
    <r>
      <rPr>
        <b/>
        <sz val="8"/>
        <rFont val="Arial"/>
        <family val="2"/>
      </rPr>
      <t xml:space="preserve">Obveznik: </t>
    </r>
    <r>
      <rPr>
        <b/>
        <u val="single"/>
        <sz val="8"/>
        <rFont val="Arial"/>
        <family val="2"/>
      </rPr>
      <t>Brodogradilište Viktor Lenac d.d.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                     u kunama</t>
    </r>
  </si>
  <si>
    <r>
      <t xml:space="preserve">Obveznik: </t>
    </r>
    <r>
      <rPr>
        <b/>
        <u val="single"/>
        <sz val="10"/>
        <rFont val="Arial"/>
        <family val="2"/>
      </rPr>
      <t xml:space="preserve">Brodogradilište Viktor Lenac d.d.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</si>
  <si>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stanje na dan 30.06.2012.</t>
  </si>
  <si>
    <t>u razdoblju   01.01.2012.  do   30.06.2012.</t>
  </si>
  <si>
    <t>u razdoblju  01.01.2012. do  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</si>
</sst>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2" fillId="0" borderId="16" xfId="57" applyFont="1" applyBorder="1" applyAlignment="1" applyProtection="1">
      <alignment horizontal="center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22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19" fillId="33" borderId="22" xfId="0" applyFont="1" applyFill="1" applyBorder="1" applyAlignment="1" applyProtection="1">
      <alignment horizontal="right" vertical="center" wrapText="1"/>
      <protection hidden="1"/>
    </xf>
    <xf numFmtId="0" fontId="19" fillId="33" borderId="42" xfId="0" applyFont="1" applyFill="1" applyBorder="1" applyAlignment="1" applyProtection="1">
      <alignment horizontal="right" vertical="center" wrapText="1"/>
      <protection hidden="1"/>
    </xf>
    <xf numFmtId="0" fontId="19" fillId="33" borderId="43" xfId="0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42" xfId="0" applyFont="1" applyFill="1" applyBorder="1" applyAlignment="1" applyProtection="1">
      <alignment vertical="center" wrapText="1"/>
      <protection hidden="1"/>
    </xf>
    <xf numFmtId="0" fontId="6" fillId="33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0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E21" sqref="E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244</v>
      </c>
      <c r="B1" s="156"/>
      <c r="C1" s="15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3" t="s">
        <v>245</v>
      </c>
      <c r="B2" s="194"/>
      <c r="C2" s="194"/>
      <c r="D2" s="195"/>
      <c r="E2" s="117" t="s">
        <v>319</v>
      </c>
      <c r="F2" s="12"/>
      <c r="G2" s="13" t="s">
        <v>246</v>
      </c>
      <c r="H2" s="117">
        <v>41090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8.75" customHeight="1">
      <c r="A4" s="196" t="s">
        <v>313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6" t="s">
        <v>247</v>
      </c>
      <c r="B6" s="147"/>
      <c r="C6" s="161" t="s">
        <v>320</v>
      </c>
      <c r="D6" s="162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9" t="s">
        <v>248</v>
      </c>
      <c r="B8" s="200"/>
      <c r="C8" s="161" t="s">
        <v>321</v>
      </c>
      <c r="D8" s="162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1" t="s">
        <v>249</v>
      </c>
      <c r="B10" s="191"/>
      <c r="C10" s="161" t="s">
        <v>322</v>
      </c>
      <c r="D10" s="162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2"/>
      <c r="B11" s="191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6" t="s">
        <v>250</v>
      </c>
      <c r="B12" s="147"/>
      <c r="C12" s="163" t="s">
        <v>323</v>
      </c>
      <c r="D12" s="188"/>
      <c r="E12" s="188"/>
      <c r="F12" s="188"/>
      <c r="G12" s="188"/>
      <c r="H12" s="188"/>
      <c r="I12" s="149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6" t="s">
        <v>251</v>
      </c>
      <c r="B14" s="147"/>
      <c r="C14" s="189">
        <v>51000</v>
      </c>
      <c r="D14" s="190"/>
      <c r="E14" s="24"/>
      <c r="F14" s="163" t="s">
        <v>324</v>
      </c>
      <c r="G14" s="188"/>
      <c r="H14" s="188"/>
      <c r="I14" s="149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6" t="s">
        <v>252</v>
      </c>
      <c r="B16" s="147"/>
      <c r="C16" s="163" t="s">
        <v>325</v>
      </c>
      <c r="D16" s="188"/>
      <c r="E16" s="188"/>
      <c r="F16" s="188"/>
      <c r="G16" s="188"/>
      <c r="H16" s="188"/>
      <c r="I16" s="149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6" t="s">
        <v>253</v>
      </c>
      <c r="B18" s="147"/>
      <c r="C18" s="184" t="s">
        <v>326</v>
      </c>
      <c r="D18" s="185"/>
      <c r="E18" s="185"/>
      <c r="F18" s="185"/>
      <c r="G18" s="185"/>
      <c r="H18" s="185"/>
      <c r="I18" s="186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6" t="s">
        <v>254</v>
      </c>
      <c r="B20" s="147"/>
      <c r="C20" s="184" t="s">
        <v>327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6" t="s">
        <v>255</v>
      </c>
      <c r="B22" s="147"/>
      <c r="C22" s="118">
        <v>373</v>
      </c>
      <c r="D22" s="163"/>
      <c r="E22" s="174"/>
      <c r="F22" s="175"/>
      <c r="G22" s="146"/>
      <c r="H22" s="187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6" t="s">
        <v>256</v>
      </c>
      <c r="B24" s="147"/>
      <c r="C24" s="118">
        <v>8</v>
      </c>
      <c r="D24" s="163"/>
      <c r="E24" s="174"/>
      <c r="F24" s="174"/>
      <c r="G24" s="175"/>
      <c r="H24" s="51" t="s">
        <v>257</v>
      </c>
      <c r="I24" s="119">
        <v>574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46" t="s">
        <v>258</v>
      </c>
      <c r="B26" s="147"/>
      <c r="C26" s="120" t="s">
        <v>328</v>
      </c>
      <c r="D26" s="25"/>
      <c r="E26" s="33"/>
      <c r="F26" s="24"/>
      <c r="G26" s="176" t="s">
        <v>259</v>
      </c>
      <c r="H26" s="147"/>
      <c r="I26" s="121" t="s">
        <v>334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7" t="s">
        <v>260</v>
      </c>
      <c r="B28" s="178"/>
      <c r="C28" s="179"/>
      <c r="D28" s="179"/>
      <c r="E28" s="180" t="s">
        <v>261</v>
      </c>
      <c r="F28" s="181"/>
      <c r="G28" s="181"/>
      <c r="H28" s="182" t="s">
        <v>262</v>
      </c>
      <c r="I28" s="183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1"/>
      <c r="B30" s="164"/>
      <c r="C30" s="164"/>
      <c r="D30" s="165"/>
      <c r="E30" s="171"/>
      <c r="F30" s="164"/>
      <c r="G30" s="164"/>
      <c r="H30" s="161"/>
      <c r="I30" s="162"/>
      <c r="J30" s="10"/>
      <c r="K30" s="10"/>
      <c r="L30" s="10"/>
    </row>
    <row r="31" spans="1:12" ht="12.75">
      <c r="A31" s="91"/>
      <c r="B31" s="22"/>
      <c r="C31" s="21"/>
      <c r="D31" s="172"/>
      <c r="E31" s="172"/>
      <c r="F31" s="172"/>
      <c r="G31" s="173"/>
      <c r="H31" s="16"/>
      <c r="I31" s="98"/>
      <c r="J31" s="10"/>
      <c r="K31" s="10"/>
      <c r="L31" s="10"/>
    </row>
    <row r="32" spans="1:12" ht="12.75">
      <c r="A32" s="171"/>
      <c r="B32" s="164"/>
      <c r="C32" s="164"/>
      <c r="D32" s="165"/>
      <c r="E32" s="171"/>
      <c r="F32" s="164"/>
      <c r="G32" s="164"/>
      <c r="H32" s="161"/>
      <c r="I32" s="162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1"/>
      <c r="B34" s="164"/>
      <c r="C34" s="164"/>
      <c r="D34" s="165"/>
      <c r="E34" s="171"/>
      <c r="F34" s="164"/>
      <c r="G34" s="164"/>
      <c r="H34" s="161"/>
      <c r="I34" s="162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1"/>
      <c r="B36" s="164"/>
      <c r="C36" s="164"/>
      <c r="D36" s="165"/>
      <c r="E36" s="171"/>
      <c r="F36" s="164"/>
      <c r="G36" s="164"/>
      <c r="H36" s="161"/>
      <c r="I36" s="162"/>
      <c r="J36" s="10"/>
      <c r="K36" s="10"/>
      <c r="L36" s="10"/>
    </row>
    <row r="37" spans="1:12" ht="12.75">
      <c r="A37" s="100"/>
      <c r="B37" s="30"/>
      <c r="C37" s="166"/>
      <c r="D37" s="167"/>
      <c r="E37" s="16"/>
      <c r="F37" s="166"/>
      <c r="G37" s="167"/>
      <c r="H37" s="16"/>
      <c r="I37" s="92"/>
      <c r="J37" s="10"/>
      <c r="K37" s="10"/>
      <c r="L37" s="10"/>
    </row>
    <row r="38" spans="1:12" ht="12.75">
      <c r="A38" s="171"/>
      <c r="B38" s="164"/>
      <c r="C38" s="164"/>
      <c r="D38" s="165"/>
      <c r="E38" s="171"/>
      <c r="F38" s="164"/>
      <c r="G38" s="164"/>
      <c r="H38" s="161"/>
      <c r="I38" s="162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1"/>
      <c r="B40" s="164"/>
      <c r="C40" s="164"/>
      <c r="D40" s="165"/>
      <c r="E40" s="171"/>
      <c r="F40" s="164"/>
      <c r="G40" s="164"/>
      <c r="H40" s="161"/>
      <c r="I40" s="162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1" t="s">
        <v>263</v>
      </c>
      <c r="B44" s="142"/>
      <c r="C44" s="161"/>
      <c r="D44" s="162"/>
      <c r="E44" s="26"/>
      <c r="F44" s="163"/>
      <c r="G44" s="164"/>
      <c r="H44" s="164"/>
      <c r="I44" s="165"/>
      <c r="J44" s="10"/>
      <c r="K44" s="10"/>
      <c r="L44" s="10"/>
    </row>
    <row r="45" spans="1:12" ht="12.75">
      <c r="A45" s="100"/>
      <c r="B45" s="30"/>
      <c r="C45" s="166"/>
      <c r="D45" s="167"/>
      <c r="E45" s="16"/>
      <c r="F45" s="166"/>
      <c r="G45" s="168"/>
      <c r="H45" s="35"/>
      <c r="I45" s="104"/>
      <c r="J45" s="10"/>
      <c r="K45" s="10"/>
      <c r="L45" s="10"/>
    </row>
    <row r="46" spans="1:12" ht="12.75">
      <c r="A46" s="141" t="s">
        <v>264</v>
      </c>
      <c r="B46" s="142"/>
      <c r="C46" s="163" t="s">
        <v>329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1"/>
      <c r="B47" s="22"/>
      <c r="C47" s="21" t="s">
        <v>265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1" t="s">
        <v>266</v>
      </c>
      <c r="B48" s="142"/>
      <c r="C48" s="148" t="s">
        <v>330</v>
      </c>
      <c r="D48" s="144"/>
      <c r="E48" s="145"/>
      <c r="F48" s="16"/>
      <c r="G48" s="51" t="s">
        <v>267</v>
      </c>
      <c r="H48" s="148" t="s">
        <v>331</v>
      </c>
      <c r="I48" s="14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1" t="s">
        <v>253</v>
      </c>
      <c r="B50" s="142"/>
      <c r="C50" s="143" t="s">
        <v>332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6" t="s">
        <v>268</v>
      </c>
      <c r="B52" s="147"/>
      <c r="C52" s="148" t="s">
        <v>333</v>
      </c>
      <c r="D52" s="144"/>
      <c r="E52" s="144"/>
      <c r="F52" s="144"/>
      <c r="G52" s="144"/>
      <c r="H52" s="144"/>
      <c r="I52" s="149"/>
      <c r="J52" s="10"/>
      <c r="K52" s="10"/>
      <c r="L52" s="10"/>
    </row>
    <row r="53" spans="1:12" ht="12.75">
      <c r="A53" s="105"/>
      <c r="B53" s="20"/>
      <c r="C53" s="157" t="s">
        <v>269</v>
      </c>
      <c r="D53" s="157"/>
      <c r="E53" s="157"/>
      <c r="F53" s="157"/>
      <c r="G53" s="157"/>
      <c r="H53" s="157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50" t="s">
        <v>270</v>
      </c>
      <c r="C55" s="151"/>
      <c r="D55" s="151"/>
      <c r="E55" s="151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52" t="s">
        <v>302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5"/>
      <c r="B57" s="152" t="s">
        <v>303</v>
      </c>
      <c r="C57" s="153"/>
      <c r="D57" s="153"/>
      <c r="E57" s="153"/>
      <c r="F57" s="153"/>
      <c r="G57" s="153"/>
      <c r="H57" s="153"/>
      <c r="I57" s="107"/>
      <c r="J57" s="10"/>
      <c r="K57" s="10"/>
      <c r="L57" s="10"/>
    </row>
    <row r="58" spans="1:12" ht="12.75">
      <c r="A58" s="105"/>
      <c r="B58" s="152" t="s">
        <v>304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5"/>
      <c r="B59" s="152" t="s">
        <v>305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272</v>
      </c>
      <c r="F62" s="33"/>
      <c r="G62" s="158" t="s">
        <v>273</v>
      </c>
      <c r="H62" s="159"/>
      <c r="I62" s="160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9"/>
      <c r="H63" s="140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68" sqref="A68:K121"/>
    </sheetView>
  </sheetViews>
  <sheetFormatPr defaultColWidth="9.140625" defaultRowHeight="12.75"/>
  <cols>
    <col min="1" max="1" width="9.140625" style="129" customWidth="1"/>
    <col min="2" max="9" width="9.140625" style="130" customWidth="1"/>
    <col min="10" max="10" width="9.8515625" style="130" bestFit="1" customWidth="1"/>
    <col min="11" max="11" width="12.140625" style="131" customWidth="1"/>
    <col min="12" max="16384" width="9.140625" style="52" customWidth="1"/>
  </cols>
  <sheetData>
    <row r="1" spans="1:11" ht="12.75" customHeight="1">
      <c r="A1" s="211" t="s">
        <v>149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 customHeight="1">
      <c r="A2" s="214" t="s">
        <v>344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2.75">
      <c r="A3" s="217" t="s">
        <v>342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55</v>
      </c>
      <c r="B4" s="221"/>
      <c r="C4" s="221"/>
      <c r="D4" s="221"/>
      <c r="E4" s="221"/>
      <c r="F4" s="221"/>
      <c r="G4" s="221"/>
      <c r="H4" s="222"/>
      <c r="I4" s="57" t="s">
        <v>274</v>
      </c>
      <c r="J4" s="58" t="s">
        <v>146</v>
      </c>
      <c r="K4" s="59" t="s">
        <v>316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6">
        <v>2</v>
      </c>
      <c r="J5" s="55">
        <v>3</v>
      </c>
      <c r="K5" s="55">
        <v>4</v>
      </c>
    </row>
    <row r="6" spans="1:11" ht="13.5" thickBot="1">
      <c r="A6" s="202" t="s">
        <v>339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56</v>
      </c>
      <c r="B7" s="206"/>
      <c r="C7" s="206"/>
      <c r="D7" s="206"/>
      <c r="E7" s="206"/>
      <c r="F7" s="206"/>
      <c r="G7" s="206"/>
      <c r="H7" s="207"/>
      <c r="I7" s="3">
        <v>1</v>
      </c>
      <c r="J7" s="133"/>
      <c r="K7" s="133"/>
    </row>
    <row r="8" spans="1:11" ht="12.75">
      <c r="A8" s="208" t="s">
        <v>12</v>
      </c>
      <c r="B8" s="209"/>
      <c r="C8" s="209"/>
      <c r="D8" s="209"/>
      <c r="E8" s="209"/>
      <c r="F8" s="209"/>
      <c r="G8" s="209"/>
      <c r="H8" s="210"/>
      <c r="I8" s="1">
        <v>2</v>
      </c>
      <c r="J8" s="125">
        <f>J9+J16+J26+J35+J39</f>
        <v>151618237</v>
      </c>
      <c r="K8" s="125">
        <f>K9+K16+K26+K35+K39</f>
        <v>192165026</v>
      </c>
    </row>
    <row r="9" spans="1:11" s="127" customFormat="1" ht="12.75">
      <c r="A9" s="208" t="s">
        <v>201</v>
      </c>
      <c r="B9" s="209"/>
      <c r="C9" s="209"/>
      <c r="D9" s="209"/>
      <c r="E9" s="209"/>
      <c r="F9" s="209"/>
      <c r="G9" s="209"/>
      <c r="H9" s="210"/>
      <c r="I9" s="1">
        <v>3</v>
      </c>
      <c r="J9" s="125">
        <f>SUM(J10:J15)</f>
        <v>4443987</v>
      </c>
      <c r="K9" s="125">
        <f>SUM(K10:K15)</f>
        <v>4261062</v>
      </c>
    </row>
    <row r="10" spans="1:11" ht="12.75">
      <c r="A10" s="223" t="s">
        <v>108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0</v>
      </c>
      <c r="K10" s="7">
        <v>0</v>
      </c>
    </row>
    <row r="11" spans="1:11" ht="12.75">
      <c r="A11" s="223" t="s">
        <v>13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4443987</v>
      </c>
      <c r="K11" s="7">
        <v>4261062</v>
      </c>
    </row>
    <row r="12" spans="1:11" ht="12.75">
      <c r="A12" s="223" t="s">
        <v>109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0</v>
      </c>
      <c r="K12" s="7">
        <v>0</v>
      </c>
    </row>
    <row r="13" spans="1:11" ht="12.75">
      <c r="A13" s="223" t="s">
        <v>204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</row>
    <row r="14" spans="1:11" ht="12.75">
      <c r="A14" s="223" t="s">
        <v>205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0</v>
      </c>
      <c r="K14" s="7">
        <v>0</v>
      </c>
    </row>
    <row r="15" spans="1:11" ht="12.75">
      <c r="A15" s="223" t="s">
        <v>206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0</v>
      </c>
      <c r="K15" s="7">
        <v>0</v>
      </c>
    </row>
    <row r="16" spans="1:11" s="127" customFormat="1" ht="12.75">
      <c r="A16" s="208" t="s">
        <v>202</v>
      </c>
      <c r="B16" s="209"/>
      <c r="C16" s="209"/>
      <c r="D16" s="209"/>
      <c r="E16" s="209"/>
      <c r="F16" s="209"/>
      <c r="G16" s="209"/>
      <c r="H16" s="210"/>
      <c r="I16" s="1">
        <v>10</v>
      </c>
      <c r="J16" s="125">
        <f>SUM(J17:J25)</f>
        <v>146351605</v>
      </c>
      <c r="K16" s="125">
        <f>SUM(K17:K25)</f>
        <v>186331319</v>
      </c>
    </row>
    <row r="17" spans="1:11" ht="12.75">
      <c r="A17" s="223" t="s">
        <v>207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2251484</v>
      </c>
      <c r="K17" s="7">
        <v>5388820</v>
      </c>
    </row>
    <row r="18" spans="1:11" ht="12.75">
      <c r="A18" s="223" t="s">
        <v>243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3070237</v>
      </c>
      <c r="K18" s="7">
        <v>3058364</v>
      </c>
    </row>
    <row r="19" spans="1:11" ht="12.75">
      <c r="A19" s="223" t="s">
        <v>208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99739254</v>
      </c>
      <c r="K19" s="7">
        <v>92348710</v>
      </c>
    </row>
    <row r="20" spans="1:11" ht="12.75">
      <c r="A20" s="223" t="s">
        <v>23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8016518</v>
      </c>
      <c r="K20" s="7">
        <v>7689361</v>
      </c>
    </row>
    <row r="21" spans="1:11" ht="12.75">
      <c r="A21" s="223" t="s">
        <v>24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0</v>
      </c>
      <c r="K21" s="7">
        <v>0</v>
      </c>
    </row>
    <row r="22" spans="1:11" ht="12.75">
      <c r="A22" s="223" t="s">
        <v>68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22352199</v>
      </c>
      <c r="K22" s="7">
        <v>2739051</v>
      </c>
    </row>
    <row r="23" spans="1:11" ht="12.75">
      <c r="A23" s="223" t="s">
        <v>69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10921913</v>
      </c>
      <c r="K23" s="7">
        <v>75107013</v>
      </c>
    </row>
    <row r="24" spans="1:11" ht="12.75">
      <c r="A24" s="223" t="s">
        <v>70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0</v>
      </c>
      <c r="K24" s="7">
        <v>0</v>
      </c>
    </row>
    <row r="25" spans="1:11" ht="12.75">
      <c r="A25" s="223" t="s">
        <v>71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0</v>
      </c>
      <c r="K25" s="7">
        <v>0</v>
      </c>
    </row>
    <row r="26" spans="1:11" s="127" customFormat="1" ht="12.75">
      <c r="A26" s="208" t="s">
        <v>186</v>
      </c>
      <c r="B26" s="209"/>
      <c r="C26" s="209"/>
      <c r="D26" s="209"/>
      <c r="E26" s="209"/>
      <c r="F26" s="209"/>
      <c r="G26" s="209"/>
      <c r="H26" s="210"/>
      <c r="I26" s="1">
        <v>20</v>
      </c>
      <c r="J26" s="125">
        <f>SUM(J27:J34)</f>
        <v>822645</v>
      </c>
      <c r="K26" s="125">
        <f>SUM(K27:K34)</f>
        <v>1572645</v>
      </c>
    </row>
    <row r="27" spans="1:11" ht="12.75">
      <c r="A27" s="223" t="s">
        <v>72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763259</v>
      </c>
      <c r="K27" s="7">
        <v>1513259</v>
      </c>
    </row>
    <row r="28" spans="1:11" ht="12.75">
      <c r="A28" s="223" t="s">
        <v>73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0</v>
      </c>
      <c r="K28" s="7">
        <v>0</v>
      </c>
    </row>
    <row r="29" spans="1:11" ht="12.75">
      <c r="A29" s="223" t="s">
        <v>74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0</v>
      </c>
      <c r="K29" s="7">
        <v>0</v>
      </c>
    </row>
    <row r="30" spans="1:11" ht="12.75">
      <c r="A30" s="223" t="s">
        <v>79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>
        <v>0</v>
      </c>
      <c r="K30" s="7">
        <v>0</v>
      </c>
    </row>
    <row r="31" spans="1:11" ht="12.75">
      <c r="A31" s="223" t="s">
        <v>80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0</v>
      </c>
      <c r="K31" s="7">
        <v>0</v>
      </c>
    </row>
    <row r="32" spans="1:11" ht="12.75">
      <c r="A32" s="223" t="s">
        <v>81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59386</v>
      </c>
      <c r="K32" s="7">
        <v>59386</v>
      </c>
    </row>
    <row r="33" spans="1:11" ht="12.75">
      <c r="A33" s="223" t="s">
        <v>75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0</v>
      </c>
      <c r="K33" s="7">
        <v>0</v>
      </c>
    </row>
    <row r="34" spans="1:11" ht="12.75">
      <c r="A34" s="223" t="s">
        <v>179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0</v>
      </c>
      <c r="K34" s="7">
        <v>0</v>
      </c>
    </row>
    <row r="35" spans="1:11" s="127" customFormat="1" ht="12.75">
      <c r="A35" s="208" t="s">
        <v>180</v>
      </c>
      <c r="B35" s="209"/>
      <c r="C35" s="209"/>
      <c r="D35" s="209"/>
      <c r="E35" s="209"/>
      <c r="F35" s="209"/>
      <c r="G35" s="209"/>
      <c r="H35" s="210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23" t="s">
        <v>76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>
        <v>0</v>
      </c>
      <c r="K36" s="7">
        <v>0</v>
      </c>
    </row>
    <row r="37" spans="1:11" ht="12.75">
      <c r="A37" s="223" t="s">
        <v>77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0</v>
      </c>
      <c r="K37" s="7">
        <v>0</v>
      </c>
    </row>
    <row r="38" spans="1:11" ht="12.75">
      <c r="A38" s="223" t="s">
        <v>78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0</v>
      </c>
      <c r="K38" s="7">
        <v>0</v>
      </c>
    </row>
    <row r="39" spans="1:11" s="127" customFormat="1" ht="12.75">
      <c r="A39" s="208" t="s">
        <v>181</v>
      </c>
      <c r="B39" s="209"/>
      <c r="C39" s="209"/>
      <c r="D39" s="209"/>
      <c r="E39" s="209"/>
      <c r="F39" s="209"/>
      <c r="G39" s="209"/>
      <c r="H39" s="210"/>
      <c r="I39" s="1">
        <v>33</v>
      </c>
      <c r="J39" s="126">
        <v>0</v>
      </c>
      <c r="K39" s="126">
        <v>0</v>
      </c>
    </row>
    <row r="40" spans="1:11" ht="12.75">
      <c r="A40" s="208" t="s">
        <v>236</v>
      </c>
      <c r="B40" s="209"/>
      <c r="C40" s="209"/>
      <c r="D40" s="209"/>
      <c r="E40" s="209"/>
      <c r="F40" s="209"/>
      <c r="G40" s="209"/>
      <c r="H40" s="210"/>
      <c r="I40" s="1">
        <v>34</v>
      </c>
      <c r="J40" s="125">
        <f>J41+J49+J56+J64</f>
        <v>158690738</v>
      </c>
      <c r="K40" s="125">
        <f>K41+K49+K56+K64</f>
        <v>158625087</v>
      </c>
    </row>
    <row r="41" spans="1:11" ht="12.75">
      <c r="A41" s="223" t="s">
        <v>96</v>
      </c>
      <c r="B41" s="224"/>
      <c r="C41" s="224"/>
      <c r="D41" s="224"/>
      <c r="E41" s="224"/>
      <c r="F41" s="224"/>
      <c r="G41" s="224"/>
      <c r="H41" s="225"/>
      <c r="I41" s="1">
        <v>35</v>
      </c>
      <c r="J41" s="125">
        <f>SUM(J42:J48)</f>
        <v>32897301</v>
      </c>
      <c r="K41" s="125">
        <f>SUM(K42:K48)</f>
        <v>29264514</v>
      </c>
    </row>
    <row r="42" spans="1:11" ht="12.75">
      <c r="A42" s="223" t="s">
        <v>113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30657682</v>
      </c>
      <c r="K42" s="7">
        <v>24103548</v>
      </c>
    </row>
    <row r="43" spans="1:11" ht="12.75">
      <c r="A43" s="223" t="s">
        <v>114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2239619</v>
      </c>
      <c r="K43" s="7">
        <v>5160966</v>
      </c>
    </row>
    <row r="44" spans="1:11" ht="12.75">
      <c r="A44" s="223" t="s">
        <v>82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0</v>
      </c>
      <c r="K44" s="7">
        <v>0</v>
      </c>
    </row>
    <row r="45" spans="1:11" ht="12.75">
      <c r="A45" s="223" t="s">
        <v>83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0</v>
      </c>
      <c r="K45" s="7">
        <v>0</v>
      </c>
    </row>
    <row r="46" spans="1:11" ht="12.75">
      <c r="A46" s="223" t="s">
        <v>84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0</v>
      </c>
      <c r="K46" s="7">
        <v>0</v>
      </c>
    </row>
    <row r="47" spans="1:11" ht="12.75">
      <c r="A47" s="223" t="s">
        <v>85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0</v>
      </c>
      <c r="K47" s="7">
        <v>0</v>
      </c>
    </row>
    <row r="48" spans="1:11" ht="12.75">
      <c r="A48" s="223" t="s">
        <v>86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>
        <v>0</v>
      </c>
      <c r="K48" s="7">
        <v>0</v>
      </c>
    </row>
    <row r="49" spans="1:11" ht="12.75">
      <c r="A49" s="223" t="s">
        <v>97</v>
      </c>
      <c r="B49" s="224"/>
      <c r="C49" s="224"/>
      <c r="D49" s="224"/>
      <c r="E49" s="224"/>
      <c r="F49" s="224"/>
      <c r="G49" s="224"/>
      <c r="H49" s="225"/>
      <c r="I49" s="1">
        <v>43</v>
      </c>
      <c r="J49" s="125">
        <f>SUM(J50:J55)</f>
        <v>63494508</v>
      </c>
      <c r="K49" s="125">
        <f>SUM(K50:K55)</f>
        <v>60262680</v>
      </c>
    </row>
    <row r="50" spans="1:11" ht="12.75">
      <c r="A50" s="223" t="s">
        <v>196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158356</v>
      </c>
      <c r="K50" s="7">
        <v>101865</v>
      </c>
    </row>
    <row r="51" spans="1:11" ht="12.75">
      <c r="A51" s="223" t="s">
        <v>197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48898057</v>
      </c>
      <c r="K51" s="7">
        <v>47303087</v>
      </c>
    </row>
    <row r="52" spans="1:11" ht="12.75">
      <c r="A52" s="223" t="s">
        <v>198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0</v>
      </c>
      <c r="K52" s="7">
        <v>0</v>
      </c>
    </row>
    <row r="53" spans="1:11" ht="12.75">
      <c r="A53" s="223" t="s">
        <v>199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1000</v>
      </c>
      <c r="K53" s="7">
        <v>56486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12222303</v>
      </c>
      <c r="K54" s="7">
        <f>10257098+214638</f>
        <v>10471736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2214792</v>
      </c>
      <c r="K55" s="7">
        <v>2329506</v>
      </c>
    </row>
    <row r="56" spans="1:11" ht="12.75">
      <c r="A56" s="223" t="s">
        <v>98</v>
      </c>
      <c r="B56" s="224"/>
      <c r="C56" s="224"/>
      <c r="D56" s="224"/>
      <c r="E56" s="224"/>
      <c r="F56" s="224"/>
      <c r="G56" s="224"/>
      <c r="H56" s="225"/>
      <c r="I56" s="1">
        <v>50</v>
      </c>
      <c r="J56" s="125">
        <f>SUM(J57:J63)</f>
        <v>59878388</v>
      </c>
      <c r="K56" s="125">
        <f>SUM(K57:K63)</f>
        <v>65646833</v>
      </c>
    </row>
    <row r="57" spans="1:11" ht="12.75">
      <c r="A57" s="223" t="s">
        <v>72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>
        <v>0</v>
      </c>
      <c r="K57" s="7">
        <v>0</v>
      </c>
    </row>
    <row r="58" spans="1:11" ht="12.75">
      <c r="A58" s="223" t="s">
        <v>73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0</v>
      </c>
      <c r="K58" s="7">
        <v>0</v>
      </c>
    </row>
    <row r="59" spans="1:11" ht="12.75">
      <c r="A59" s="223" t="s">
        <v>238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26464892</v>
      </c>
      <c r="K59" s="7">
        <v>6507277</v>
      </c>
    </row>
    <row r="60" spans="1:11" ht="12.75">
      <c r="A60" s="223" t="s">
        <v>79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>
        <v>0</v>
      </c>
      <c r="K60" s="7">
        <v>0</v>
      </c>
    </row>
    <row r="61" spans="1:11" ht="12.75">
      <c r="A61" s="223" t="s">
        <v>80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0</v>
      </c>
      <c r="K61" s="7">
        <v>0</v>
      </c>
    </row>
    <row r="62" spans="1:11" ht="12.75">
      <c r="A62" s="223" t="s">
        <v>81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f>59878388-J59</f>
        <v>33413496</v>
      </c>
      <c r="K62" s="7">
        <f>65646833-K59</f>
        <v>59139556</v>
      </c>
    </row>
    <row r="63" spans="1:11" ht="12.75">
      <c r="A63" s="223" t="s">
        <v>42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0</v>
      </c>
      <c r="K63" s="7">
        <v>0</v>
      </c>
    </row>
    <row r="64" spans="1:11" ht="12.75">
      <c r="A64" s="223" t="s">
        <v>203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2420541</v>
      </c>
      <c r="K64" s="7">
        <v>3451060</v>
      </c>
    </row>
    <row r="65" spans="1:11" ht="12.75">
      <c r="A65" s="208" t="s">
        <v>52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23469777</v>
      </c>
      <c r="K65" s="7">
        <v>44803513</v>
      </c>
    </row>
    <row r="66" spans="1:11" ht="12.75">
      <c r="A66" s="208" t="s">
        <v>237</v>
      </c>
      <c r="B66" s="209"/>
      <c r="C66" s="209"/>
      <c r="D66" s="209"/>
      <c r="E66" s="209"/>
      <c r="F66" s="209"/>
      <c r="G66" s="209"/>
      <c r="H66" s="210"/>
      <c r="I66" s="1">
        <v>60</v>
      </c>
      <c r="J66" s="125">
        <f>J7+J8+J40+J65</f>
        <v>333778752</v>
      </c>
      <c r="K66" s="125">
        <f>K7+K8+K40+K65</f>
        <v>395593626</v>
      </c>
    </row>
    <row r="67" spans="1:11" ht="12.75">
      <c r="A67" s="226" t="s">
        <v>87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0</v>
      </c>
      <c r="K67" s="8">
        <v>0</v>
      </c>
    </row>
    <row r="68" spans="1:11" ht="13.5" thickBot="1">
      <c r="A68" s="202" t="s">
        <v>54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5" t="s">
        <v>187</v>
      </c>
      <c r="B69" s="206"/>
      <c r="C69" s="206"/>
      <c r="D69" s="206"/>
      <c r="E69" s="206"/>
      <c r="F69" s="206"/>
      <c r="G69" s="206"/>
      <c r="H69" s="207"/>
      <c r="I69" s="3">
        <v>62</v>
      </c>
      <c r="J69" s="132">
        <f>J70+J71+J72+J78+J79+J82+J85</f>
        <v>222434509</v>
      </c>
      <c r="K69" s="132">
        <f>K70+K71+K72+K78+K79+K82+K85</f>
        <v>213064039</v>
      </c>
    </row>
    <row r="70" spans="1:11" ht="12.75">
      <c r="A70" s="208" t="s">
        <v>137</v>
      </c>
      <c r="B70" s="209"/>
      <c r="C70" s="209"/>
      <c r="D70" s="209"/>
      <c r="E70" s="209"/>
      <c r="F70" s="209"/>
      <c r="G70" s="209"/>
      <c r="H70" s="210"/>
      <c r="I70" s="1">
        <v>63</v>
      </c>
      <c r="J70" s="126">
        <v>168132470</v>
      </c>
      <c r="K70" s="126">
        <v>168132470</v>
      </c>
    </row>
    <row r="71" spans="1:11" ht="12.75">
      <c r="A71" s="208" t="s">
        <v>138</v>
      </c>
      <c r="B71" s="209"/>
      <c r="C71" s="209"/>
      <c r="D71" s="209"/>
      <c r="E71" s="209"/>
      <c r="F71" s="209"/>
      <c r="G71" s="209"/>
      <c r="H71" s="210"/>
      <c r="I71" s="1">
        <v>64</v>
      </c>
      <c r="J71" s="126">
        <v>0</v>
      </c>
      <c r="K71" s="126">
        <v>0</v>
      </c>
    </row>
    <row r="72" spans="1:11" ht="12.75">
      <c r="A72" s="208" t="s">
        <v>139</v>
      </c>
      <c r="B72" s="209"/>
      <c r="C72" s="209"/>
      <c r="D72" s="209"/>
      <c r="E72" s="209"/>
      <c r="F72" s="209"/>
      <c r="G72" s="209"/>
      <c r="H72" s="210"/>
      <c r="I72" s="1">
        <v>65</v>
      </c>
      <c r="J72" s="125">
        <f>J73+J74-J75+J76+J77</f>
        <v>50230875</v>
      </c>
      <c r="K72" s="125">
        <f>K73+K74-K75+K76+K77</f>
        <v>54302039</v>
      </c>
    </row>
    <row r="73" spans="1:11" ht="12.75">
      <c r="A73" s="223" t="s">
        <v>140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6922223</v>
      </c>
      <c r="K73" s="7">
        <v>7125782</v>
      </c>
    </row>
    <row r="74" spans="1:11" ht="12.75">
      <c r="A74" s="223" t="s">
        <v>141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10540000</v>
      </c>
      <c r="K74" s="7">
        <v>12540000</v>
      </c>
    </row>
    <row r="75" spans="1:11" ht="12.75">
      <c r="A75" s="223" t="s">
        <v>129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8055772</v>
      </c>
      <c r="K75" s="7">
        <v>8055772</v>
      </c>
    </row>
    <row r="76" spans="1:11" ht="12.75">
      <c r="A76" s="223" t="s">
        <v>130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</row>
    <row r="77" spans="1:11" ht="12.75">
      <c r="A77" s="223" t="s">
        <v>131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40824424</v>
      </c>
      <c r="K77" s="7">
        <v>42692029</v>
      </c>
    </row>
    <row r="78" spans="1:11" s="127" customFormat="1" ht="12.75">
      <c r="A78" s="208" t="s">
        <v>132</v>
      </c>
      <c r="B78" s="209"/>
      <c r="C78" s="209"/>
      <c r="D78" s="209"/>
      <c r="E78" s="209"/>
      <c r="F78" s="209"/>
      <c r="G78" s="209"/>
      <c r="H78" s="210"/>
      <c r="I78" s="1">
        <v>71</v>
      </c>
      <c r="J78" s="126">
        <v>0</v>
      </c>
      <c r="K78" s="126">
        <v>0</v>
      </c>
    </row>
    <row r="79" spans="1:11" s="127" customFormat="1" ht="12.75">
      <c r="A79" s="208" t="s">
        <v>234</v>
      </c>
      <c r="B79" s="209"/>
      <c r="C79" s="209"/>
      <c r="D79" s="209"/>
      <c r="E79" s="209"/>
      <c r="F79" s="209"/>
      <c r="G79" s="209"/>
      <c r="H79" s="210"/>
      <c r="I79" s="1">
        <v>72</v>
      </c>
      <c r="J79" s="125">
        <f>J80-J81</f>
        <v>0</v>
      </c>
      <c r="K79" s="125">
        <f>K80-K81</f>
        <v>0</v>
      </c>
    </row>
    <row r="80" spans="1:11" ht="12.75">
      <c r="A80" s="231" t="s">
        <v>165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>
        <v>0</v>
      </c>
      <c r="K80" s="7">
        <v>0</v>
      </c>
    </row>
    <row r="81" spans="1:11" ht="12.75">
      <c r="A81" s="231" t="s">
        <v>166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>
        <v>0</v>
      </c>
      <c r="K81" s="7">
        <v>0</v>
      </c>
    </row>
    <row r="82" spans="1:11" s="127" customFormat="1" ht="12.75">
      <c r="A82" s="208" t="s">
        <v>235</v>
      </c>
      <c r="B82" s="209"/>
      <c r="C82" s="209"/>
      <c r="D82" s="209"/>
      <c r="E82" s="209"/>
      <c r="F82" s="209"/>
      <c r="G82" s="209"/>
      <c r="H82" s="210"/>
      <c r="I82" s="1">
        <v>75</v>
      </c>
      <c r="J82" s="125">
        <f>J83-J84</f>
        <v>4071164</v>
      </c>
      <c r="K82" s="125">
        <f>K83-K84</f>
        <v>-9370470</v>
      </c>
    </row>
    <row r="83" spans="1:11" ht="12.75">
      <c r="A83" s="231" t="s">
        <v>167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4071164</v>
      </c>
      <c r="K83" s="7">
        <v>0</v>
      </c>
    </row>
    <row r="84" spans="1:11" ht="12.75">
      <c r="A84" s="231" t="s">
        <v>168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>
        <v>0</v>
      </c>
      <c r="K84" s="7">
        <f>9585108-214638</f>
        <v>9370470</v>
      </c>
    </row>
    <row r="85" spans="1:11" ht="12.75">
      <c r="A85" s="223" t="s">
        <v>169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0</v>
      </c>
      <c r="K85" s="7">
        <v>0</v>
      </c>
    </row>
    <row r="86" spans="1:11" s="69" customFormat="1" ht="12.75">
      <c r="A86" s="208" t="s">
        <v>336</v>
      </c>
      <c r="B86" s="209"/>
      <c r="C86" s="209"/>
      <c r="D86" s="209"/>
      <c r="E86" s="209"/>
      <c r="F86" s="209"/>
      <c r="G86" s="209"/>
      <c r="H86" s="210"/>
      <c r="I86" s="1">
        <v>79</v>
      </c>
      <c r="J86" s="125">
        <f>SUM(J87:J89)</f>
        <v>3119105</v>
      </c>
      <c r="K86" s="125">
        <f>SUM(K87:K89)</f>
        <v>2498355</v>
      </c>
    </row>
    <row r="87" spans="1:11" ht="12.75">
      <c r="A87" s="223" t="s">
        <v>125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0</v>
      </c>
      <c r="K87" s="7">
        <v>0</v>
      </c>
    </row>
    <row r="88" spans="1:11" ht="12.75">
      <c r="A88" s="223" t="s">
        <v>126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</row>
    <row r="89" spans="1:11" ht="12.75">
      <c r="A89" s="223" t="s">
        <v>127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3119105</v>
      </c>
      <c r="K89" s="7">
        <v>2498355</v>
      </c>
    </row>
    <row r="90" spans="1:11" s="127" customFormat="1" ht="12.75">
      <c r="A90" s="208" t="s">
        <v>335</v>
      </c>
      <c r="B90" s="209"/>
      <c r="C90" s="209"/>
      <c r="D90" s="209"/>
      <c r="E90" s="209"/>
      <c r="F90" s="209"/>
      <c r="G90" s="209"/>
      <c r="H90" s="210"/>
      <c r="I90" s="1">
        <v>83</v>
      </c>
      <c r="J90" s="125">
        <f>SUM(J91:J99)</f>
        <v>11090368</v>
      </c>
      <c r="K90" s="125">
        <f>SUM(K91:K99)</f>
        <v>50426565</v>
      </c>
    </row>
    <row r="91" spans="1:11" ht="12.75">
      <c r="A91" s="223" t="s">
        <v>128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0</v>
      </c>
      <c r="K91" s="7">
        <v>0</v>
      </c>
    </row>
    <row r="92" spans="1:11" ht="12.75">
      <c r="A92" s="223" t="s">
        <v>239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0</v>
      </c>
      <c r="K92" s="7">
        <v>0</v>
      </c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809209</v>
      </c>
      <c r="K93" s="7">
        <v>46145840</v>
      </c>
    </row>
    <row r="94" spans="1:11" ht="12.75">
      <c r="A94" s="223" t="s">
        <v>240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>
        <v>0</v>
      </c>
    </row>
    <row r="95" spans="1:11" ht="12.75">
      <c r="A95" s="223" t="s">
        <v>241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0</v>
      </c>
      <c r="K95" s="7">
        <v>0</v>
      </c>
    </row>
    <row r="96" spans="1:11" ht="12.75">
      <c r="A96" s="223" t="s">
        <v>242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>
        <v>0</v>
      </c>
    </row>
    <row r="97" spans="1:11" ht="12.75">
      <c r="A97" s="223" t="s">
        <v>90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0</v>
      </c>
      <c r="K97" s="7">
        <v>0</v>
      </c>
    </row>
    <row r="98" spans="1:11" ht="12.75">
      <c r="A98" s="223" t="s">
        <v>88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10281159</v>
      </c>
      <c r="K98" s="7">
        <v>4280725</v>
      </c>
    </row>
    <row r="99" spans="1:11" ht="12.75">
      <c r="A99" s="223" t="s">
        <v>89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0</v>
      </c>
      <c r="K99" s="7">
        <v>0</v>
      </c>
    </row>
    <row r="100" spans="1:11" ht="12.75">
      <c r="A100" s="208" t="s">
        <v>337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125">
        <f>SUM(J101:J112)</f>
        <v>94133168</v>
      </c>
      <c r="K100" s="125">
        <f>SUM(K101:K112)</f>
        <v>127723225</v>
      </c>
    </row>
    <row r="101" spans="1:11" ht="12.75">
      <c r="A101" s="223" t="s">
        <v>128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1492117</v>
      </c>
      <c r="K101" s="7">
        <v>1556539</v>
      </c>
    </row>
    <row r="102" spans="1:11" ht="12.75">
      <c r="A102" s="223" t="s">
        <v>239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0</v>
      </c>
      <c r="K102" s="7">
        <v>0</v>
      </c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8070672</v>
      </c>
      <c r="K103" s="7">
        <v>34155864</v>
      </c>
    </row>
    <row r="104" spans="1:11" ht="12.75">
      <c r="A104" s="223" t="s">
        <v>240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490</v>
      </c>
      <c r="K104" s="7">
        <v>490</v>
      </c>
    </row>
    <row r="105" spans="1:11" ht="12.75">
      <c r="A105" s="223" t="s">
        <v>241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74042870</v>
      </c>
      <c r="K105" s="7">
        <v>80305048</v>
      </c>
    </row>
    <row r="106" spans="1:11" ht="12.75">
      <c r="A106" s="223" t="s">
        <v>242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0</v>
      </c>
      <c r="K106" s="7">
        <v>0</v>
      </c>
    </row>
    <row r="107" spans="1:11" ht="12.75">
      <c r="A107" s="223" t="s">
        <v>90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0</v>
      </c>
      <c r="K107" s="7">
        <v>0</v>
      </c>
    </row>
    <row r="108" spans="1:11" ht="12.75">
      <c r="A108" s="223" t="s">
        <v>91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4101623</v>
      </c>
      <c r="K108" s="7">
        <v>3960303</v>
      </c>
    </row>
    <row r="109" spans="1:11" ht="12.75">
      <c r="A109" s="223" t="s">
        <v>92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3533907</v>
      </c>
      <c r="K109" s="7">
        <v>2416005</v>
      </c>
    </row>
    <row r="110" spans="1:11" ht="12.75">
      <c r="A110" s="223" t="s">
        <v>95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0</v>
      </c>
      <c r="K110" s="7">
        <v>0</v>
      </c>
    </row>
    <row r="111" spans="1:11" ht="12.75">
      <c r="A111" s="223" t="s">
        <v>93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0</v>
      </c>
      <c r="K111" s="7">
        <v>0</v>
      </c>
    </row>
    <row r="112" spans="1:11" ht="12.75">
      <c r="A112" s="223" t="s">
        <v>94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2891489</v>
      </c>
      <c r="K112" s="7">
        <v>5328976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3001602</v>
      </c>
      <c r="K113" s="7">
        <v>1881442</v>
      </c>
    </row>
    <row r="114" spans="1:11" ht="12.75">
      <c r="A114" s="208" t="s">
        <v>21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333778752</v>
      </c>
      <c r="K114" s="53">
        <f>K69+K86+K90+K100+K113</f>
        <v>395593626</v>
      </c>
    </row>
    <row r="115" spans="1:11" ht="12.75">
      <c r="A115" s="237" t="s">
        <v>53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>
        <f>+J66-J114</f>
        <v>0</v>
      </c>
      <c r="K115" s="8">
        <f>+K114-K66</f>
        <v>0</v>
      </c>
    </row>
    <row r="116" spans="1:11" ht="12.75">
      <c r="A116" s="240" t="s">
        <v>306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44" t="s">
        <v>182</v>
      </c>
      <c r="B117" s="245"/>
      <c r="C117" s="245"/>
      <c r="D117" s="245"/>
      <c r="E117" s="245"/>
      <c r="F117" s="245"/>
      <c r="G117" s="245"/>
      <c r="H117" s="245"/>
      <c r="I117" s="246"/>
      <c r="J117" s="246"/>
      <c r="K117" s="247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/>
      <c r="K119" s="8"/>
    </row>
    <row r="120" spans="1:11" ht="12.75">
      <c r="A120" s="251" t="s">
        <v>307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3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6" width="9.140625" style="52" customWidth="1"/>
    <col min="7" max="7" width="4.0039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8" customHeight="1">
      <c r="A1" s="211" t="s">
        <v>150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 ht="12.75" customHeight="1">
      <c r="A2" s="269" t="s">
        <v>345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1:13" ht="16.5" customHeight="1">
      <c r="A3" s="254" t="s">
        <v>343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6"/>
    </row>
    <row r="4" spans="1:13" ht="23.25">
      <c r="A4" s="257" t="s">
        <v>55</v>
      </c>
      <c r="B4" s="257"/>
      <c r="C4" s="257"/>
      <c r="D4" s="257"/>
      <c r="E4" s="257"/>
      <c r="F4" s="257"/>
      <c r="G4" s="257"/>
      <c r="H4" s="257"/>
      <c r="I4" s="57" t="s">
        <v>275</v>
      </c>
      <c r="J4" s="258" t="s">
        <v>315</v>
      </c>
      <c r="K4" s="258"/>
      <c r="L4" s="258" t="s">
        <v>316</v>
      </c>
      <c r="M4" s="258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7"/>
      <c r="J5" s="59" t="s">
        <v>310</v>
      </c>
      <c r="K5" s="59" t="s">
        <v>311</v>
      </c>
      <c r="L5" s="59" t="s">
        <v>310</v>
      </c>
      <c r="M5" s="59" t="s">
        <v>311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44" t="s">
        <v>22</v>
      </c>
      <c r="B7" s="245"/>
      <c r="C7" s="245"/>
      <c r="D7" s="245"/>
      <c r="E7" s="245"/>
      <c r="F7" s="245"/>
      <c r="G7" s="245"/>
      <c r="H7" s="259"/>
      <c r="I7" s="3">
        <v>111</v>
      </c>
      <c r="J7" s="128">
        <f>SUM(J8:J9)</f>
        <v>132427090</v>
      </c>
      <c r="K7" s="128">
        <f>SUM(K8:K9)</f>
        <v>66695907</v>
      </c>
      <c r="L7" s="128">
        <f>SUM(L8:L9)</f>
        <v>146068058</v>
      </c>
      <c r="M7" s="128">
        <f>SUM(M8:M9)</f>
        <v>63299631</v>
      </c>
    </row>
    <row r="8" spans="1:13" ht="12.75">
      <c r="A8" s="208" t="s">
        <v>148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126079938</v>
      </c>
      <c r="K8" s="7">
        <f>+J8-62485053</f>
        <v>63594885</v>
      </c>
      <c r="L8" s="7">
        <v>136728712</v>
      </c>
      <c r="M8" s="7">
        <f>+L8-81049550</f>
        <v>55679162</v>
      </c>
    </row>
    <row r="9" spans="1:13" ht="12.75">
      <c r="A9" s="208" t="s">
        <v>99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6347152</v>
      </c>
      <c r="K9" s="7">
        <f>+J9-3246130</f>
        <v>3101022</v>
      </c>
      <c r="L9" s="7">
        <v>9339346</v>
      </c>
      <c r="M9" s="7">
        <f>+L9-1718877</f>
        <v>7620469</v>
      </c>
    </row>
    <row r="10" spans="1:13" s="127" customFormat="1" ht="12.75">
      <c r="A10" s="208" t="s">
        <v>338</v>
      </c>
      <c r="B10" s="209"/>
      <c r="C10" s="209"/>
      <c r="D10" s="209"/>
      <c r="E10" s="209"/>
      <c r="F10" s="209"/>
      <c r="G10" s="209"/>
      <c r="H10" s="210"/>
      <c r="I10" s="1">
        <v>114</v>
      </c>
      <c r="J10" s="125">
        <f>J11+J12+J16+J20+J21+J22+J25+J26</f>
        <v>131717627</v>
      </c>
      <c r="K10" s="125">
        <f>K11+K12+K16+K20+K21+K22+K25+K26</f>
        <v>66491215</v>
      </c>
      <c r="L10" s="125">
        <f>L11+L12+L16+L20+L21+L22+L25+L26</f>
        <v>155179101</v>
      </c>
      <c r="M10" s="125">
        <f>M11+M12+M16+M20+M21+M22+M25+M26</f>
        <v>70081130</v>
      </c>
    </row>
    <row r="11" spans="1:13" ht="12.75">
      <c r="A11" s="208" t="s">
        <v>100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-8238419</v>
      </c>
      <c r="K11" s="7">
        <f>+J11+1806936</f>
        <v>-6431483</v>
      </c>
      <c r="L11" s="7">
        <v>-2921347</v>
      </c>
      <c r="M11" s="7">
        <f>+L11-2235229</f>
        <v>-5156576</v>
      </c>
    </row>
    <row r="12" spans="1:13" ht="12.75">
      <c r="A12" s="208" t="s">
        <v>18</v>
      </c>
      <c r="B12" s="209"/>
      <c r="C12" s="209"/>
      <c r="D12" s="209"/>
      <c r="E12" s="209"/>
      <c r="F12" s="209"/>
      <c r="G12" s="209"/>
      <c r="H12" s="210"/>
      <c r="I12" s="1">
        <v>116</v>
      </c>
      <c r="J12" s="125">
        <f>SUM(J13:J15)</f>
        <v>94832874</v>
      </c>
      <c r="K12" s="125">
        <f>SUM(K13:K15)</f>
        <v>48862057</v>
      </c>
      <c r="L12" s="125">
        <f>SUM(L13:L15)</f>
        <v>109477970</v>
      </c>
      <c r="M12" s="125">
        <f>SUM(M13:M15)</f>
        <v>50353083</v>
      </c>
    </row>
    <row r="13" spans="1:13" ht="12.75">
      <c r="A13" s="223" t="s">
        <v>142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33060446</v>
      </c>
      <c r="K13" s="7">
        <f>+J13-16865833</f>
        <v>16194613</v>
      </c>
      <c r="L13" s="7">
        <v>41821912</v>
      </c>
      <c r="M13" s="7">
        <f>+L13-24337877</f>
        <v>17484035</v>
      </c>
    </row>
    <row r="14" spans="1:13" ht="12.75">
      <c r="A14" s="223" t="s">
        <v>143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/>
      <c r="K14" s="7">
        <f>+J14</f>
        <v>0</v>
      </c>
      <c r="L14" s="7">
        <v>0</v>
      </c>
      <c r="M14" s="7">
        <f>+L14</f>
        <v>0</v>
      </c>
    </row>
    <row r="15" spans="1:13" ht="12.75">
      <c r="A15" s="223" t="s">
        <v>57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61772428</v>
      </c>
      <c r="K15" s="7">
        <f>+J15-29104984</f>
        <v>32667444</v>
      </c>
      <c r="L15" s="7">
        <v>67656058</v>
      </c>
      <c r="M15" s="7">
        <f>+L15-34787010</f>
        <v>32869048</v>
      </c>
    </row>
    <row r="16" spans="1:13" ht="12.75">
      <c r="A16" s="208" t="s">
        <v>19</v>
      </c>
      <c r="B16" s="209"/>
      <c r="C16" s="209"/>
      <c r="D16" s="209"/>
      <c r="E16" s="209"/>
      <c r="F16" s="209"/>
      <c r="G16" s="209"/>
      <c r="H16" s="210"/>
      <c r="I16" s="1">
        <v>120</v>
      </c>
      <c r="J16" s="125">
        <f>SUM(J17:J19)</f>
        <v>30493322</v>
      </c>
      <c r="K16" s="125">
        <f>SUM(K17:K19)</f>
        <v>15860956</v>
      </c>
      <c r="L16" s="125">
        <f>SUM(L17:L19)</f>
        <v>29846522</v>
      </c>
      <c r="M16" s="125">
        <f>SUM(M17:M19)</f>
        <v>14861203</v>
      </c>
    </row>
    <row r="17" spans="1:13" ht="12.75">
      <c r="A17" s="223" t="s">
        <v>58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18285243</v>
      </c>
      <c r="K17" s="7">
        <f>+J17-8801590</f>
        <v>9483653</v>
      </c>
      <c r="L17" s="7">
        <v>17936080</v>
      </c>
      <c r="M17" s="7">
        <f>+L17-8963751</f>
        <v>8972329</v>
      </c>
    </row>
    <row r="18" spans="1:13" ht="12.75">
      <c r="A18" s="223" t="s">
        <v>59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7401131</v>
      </c>
      <c r="K18" s="7">
        <f>+J18-3531079</f>
        <v>3870052</v>
      </c>
      <c r="L18" s="7">
        <v>7326487</v>
      </c>
      <c r="M18" s="7">
        <f>+L18-3645391</f>
        <v>3681096</v>
      </c>
    </row>
    <row r="19" spans="1:13" ht="12.75">
      <c r="A19" s="223" t="s">
        <v>60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4806948</v>
      </c>
      <c r="K19" s="7">
        <f>+J19-2299697</f>
        <v>2507251</v>
      </c>
      <c r="L19" s="7">
        <v>4583955</v>
      </c>
      <c r="M19" s="7">
        <f>+L19-2376177</f>
        <v>2207778</v>
      </c>
    </row>
    <row r="20" spans="1:13" ht="12.75">
      <c r="A20" s="208" t="s">
        <v>101</v>
      </c>
      <c r="B20" s="209"/>
      <c r="C20" s="209"/>
      <c r="D20" s="209"/>
      <c r="E20" s="209"/>
      <c r="F20" s="209"/>
      <c r="G20" s="209"/>
      <c r="H20" s="210"/>
      <c r="I20" s="1">
        <v>124</v>
      </c>
      <c r="J20" s="126">
        <v>6002060</v>
      </c>
      <c r="K20" s="126">
        <f>+J20-2878568</f>
        <v>3123492</v>
      </c>
      <c r="L20" s="126">
        <v>9344354</v>
      </c>
      <c r="M20" s="126">
        <f>+L20-4685037</f>
        <v>4659317</v>
      </c>
    </row>
    <row r="21" spans="1:13" ht="12.75">
      <c r="A21" s="208" t="s">
        <v>102</v>
      </c>
      <c r="B21" s="209"/>
      <c r="C21" s="209"/>
      <c r="D21" s="209"/>
      <c r="E21" s="209"/>
      <c r="F21" s="209"/>
      <c r="G21" s="209"/>
      <c r="H21" s="210"/>
      <c r="I21" s="1">
        <v>125</v>
      </c>
      <c r="J21" s="126">
        <v>8606879</v>
      </c>
      <c r="K21" s="126">
        <f>+J21-3537186</f>
        <v>5069693</v>
      </c>
      <c r="L21" s="126">
        <v>9398693</v>
      </c>
      <c r="M21" s="126">
        <f>+L21-4060125</f>
        <v>5338568</v>
      </c>
    </row>
    <row r="22" spans="1:13" ht="12.75">
      <c r="A22" s="208" t="s">
        <v>20</v>
      </c>
      <c r="B22" s="209"/>
      <c r="C22" s="209"/>
      <c r="D22" s="209"/>
      <c r="E22" s="209"/>
      <c r="F22" s="209"/>
      <c r="G22" s="209"/>
      <c r="H22" s="210"/>
      <c r="I22" s="1">
        <v>126</v>
      </c>
      <c r="J22" s="125">
        <f>SUM(J23:J24)</f>
        <v>0</v>
      </c>
      <c r="K22" s="125">
        <f>SUM(K23:K24)</f>
        <v>0</v>
      </c>
      <c r="L22" s="125">
        <f>SUM(L23:L24)</f>
        <v>0</v>
      </c>
      <c r="M22" s="125">
        <f>SUM(M23:M24)</f>
        <v>0</v>
      </c>
    </row>
    <row r="23" spans="1:13" ht="12.75">
      <c r="A23" s="223" t="s">
        <v>133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0</v>
      </c>
      <c r="K23" s="7">
        <f>+J23</f>
        <v>0</v>
      </c>
      <c r="L23" s="7">
        <v>0</v>
      </c>
      <c r="M23" s="7">
        <f>+L23</f>
        <v>0</v>
      </c>
    </row>
    <row r="24" spans="1:13" ht="12.75">
      <c r="A24" s="223" t="s">
        <v>134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0</v>
      </c>
      <c r="K24" s="7">
        <f>+J24</f>
        <v>0</v>
      </c>
      <c r="L24" s="7">
        <v>0</v>
      </c>
      <c r="M24" s="7">
        <f>+L24</f>
        <v>0</v>
      </c>
    </row>
    <row r="25" spans="1:13" ht="12.75">
      <c r="A25" s="208" t="s">
        <v>103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0</v>
      </c>
      <c r="K25" s="7">
        <f>+J25</f>
        <v>0</v>
      </c>
      <c r="L25" s="7">
        <v>0</v>
      </c>
      <c r="M25" s="7">
        <f>+L25</f>
        <v>0</v>
      </c>
    </row>
    <row r="26" spans="1:13" ht="12.75">
      <c r="A26" s="208" t="s">
        <v>46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20911</v>
      </c>
      <c r="K26" s="7">
        <f>+J26-14411</f>
        <v>6500</v>
      </c>
      <c r="L26" s="7">
        <v>32909</v>
      </c>
      <c r="M26" s="7">
        <f>+L26-7374</f>
        <v>25535</v>
      </c>
    </row>
    <row r="27" spans="1:13" ht="12.75">
      <c r="A27" s="208" t="s">
        <v>209</v>
      </c>
      <c r="B27" s="209"/>
      <c r="C27" s="209"/>
      <c r="D27" s="209"/>
      <c r="E27" s="209"/>
      <c r="F27" s="209"/>
      <c r="G27" s="209"/>
      <c r="H27" s="210"/>
      <c r="I27" s="1">
        <v>131</v>
      </c>
      <c r="J27" s="125">
        <f>SUM(J28:J32)</f>
        <v>2266091</v>
      </c>
      <c r="K27" s="125">
        <f>SUM(K28:K32)</f>
        <v>1404171</v>
      </c>
      <c r="L27" s="125">
        <f>SUM(L28:L32)</f>
        <v>1843315</v>
      </c>
      <c r="M27" s="125">
        <f>SUM(M28:M32)</f>
        <v>1063987</v>
      </c>
    </row>
    <row r="28" spans="1:13" ht="12.75">
      <c r="A28" s="208" t="s">
        <v>223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0</v>
      </c>
      <c r="K28" s="7">
        <f>+J28</f>
        <v>0</v>
      </c>
      <c r="L28" s="7">
        <v>0</v>
      </c>
      <c r="M28" s="7">
        <f>+L28</f>
        <v>0</v>
      </c>
    </row>
    <row r="29" spans="1:13" ht="12.75">
      <c r="A29" s="208" t="s">
        <v>151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2266091</v>
      </c>
      <c r="K29" s="7">
        <f>+J29-861920</f>
        <v>1404171</v>
      </c>
      <c r="L29" s="7">
        <v>1843315</v>
      </c>
      <c r="M29" s="7">
        <f>+L29-779328</f>
        <v>1063987</v>
      </c>
    </row>
    <row r="30" spans="1:13" ht="12.75">
      <c r="A30" s="208" t="s">
        <v>135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0</v>
      </c>
      <c r="K30" s="7">
        <f>+J30</f>
        <v>0</v>
      </c>
      <c r="L30" s="7">
        <v>0</v>
      </c>
      <c r="M30" s="7">
        <f>+L30</f>
        <v>0</v>
      </c>
    </row>
    <row r="31" spans="1:13" ht="12.75">
      <c r="A31" s="208" t="s">
        <v>219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>
        <v>0</v>
      </c>
      <c r="K31" s="7">
        <f>+J31</f>
        <v>0</v>
      </c>
      <c r="L31" s="7">
        <v>0</v>
      </c>
      <c r="M31" s="7">
        <f>+L31</f>
        <v>0</v>
      </c>
    </row>
    <row r="32" spans="1:13" ht="12.75">
      <c r="A32" s="208" t="s">
        <v>136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0</v>
      </c>
      <c r="K32" s="7">
        <f>+J32</f>
        <v>0</v>
      </c>
      <c r="L32" s="7">
        <v>0</v>
      </c>
      <c r="M32" s="7">
        <f>+L32</f>
        <v>0</v>
      </c>
    </row>
    <row r="33" spans="1:13" ht="12.75">
      <c r="A33" s="208" t="s">
        <v>210</v>
      </c>
      <c r="B33" s="209"/>
      <c r="C33" s="209"/>
      <c r="D33" s="209"/>
      <c r="E33" s="209"/>
      <c r="F33" s="209"/>
      <c r="G33" s="209"/>
      <c r="H33" s="210"/>
      <c r="I33" s="1">
        <v>137</v>
      </c>
      <c r="J33" s="125">
        <f>SUM(J34:J37)</f>
        <v>1607092</v>
      </c>
      <c r="K33" s="125">
        <f>SUM(K34:K37)</f>
        <v>1256957</v>
      </c>
      <c r="L33" s="125">
        <f>SUM(L34:L37)</f>
        <v>2102742</v>
      </c>
      <c r="M33" s="125">
        <f>SUM(M34:M37)</f>
        <v>1377130</v>
      </c>
    </row>
    <row r="34" spans="1:13" ht="12.75">
      <c r="A34" s="208" t="s">
        <v>62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>
        <f>+J34</f>
        <v>0</v>
      </c>
      <c r="L34" s="7">
        <v>0</v>
      </c>
      <c r="M34" s="7">
        <f>+L34</f>
        <v>0</v>
      </c>
    </row>
    <row r="35" spans="1:13" ht="12.75">
      <c r="A35" s="208" t="s">
        <v>61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1607092</v>
      </c>
      <c r="K35" s="7">
        <f>+J35-350135</f>
        <v>1256957</v>
      </c>
      <c r="L35" s="7">
        <v>2102742</v>
      </c>
      <c r="M35" s="7">
        <f>+L35-725612</f>
        <v>1377130</v>
      </c>
    </row>
    <row r="36" spans="1:13" ht="12.75">
      <c r="A36" s="208" t="s">
        <v>220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>
        <f aca="true" t="shared" si="0" ref="K36:K41">+J36</f>
        <v>0</v>
      </c>
      <c r="L36" s="7"/>
      <c r="M36" s="7">
        <f aca="true" t="shared" si="1" ref="M36:M41">+L36</f>
        <v>0</v>
      </c>
    </row>
    <row r="37" spans="1:13" ht="12.75">
      <c r="A37" s="208" t="s">
        <v>63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>
        <f t="shared" si="0"/>
        <v>0</v>
      </c>
      <c r="L37" s="7"/>
      <c r="M37" s="7">
        <f t="shared" si="1"/>
        <v>0</v>
      </c>
    </row>
    <row r="38" spans="1:13" ht="12.75">
      <c r="A38" s="208" t="s">
        <v>191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>
        <f t="shared" si="0"/>
        <v>0</v>
      </c>
      <c r="L38" s="7"/>
      <c r="M38" s="7">
        <f t="shared" si="1"/>
        <v>0</v>
      </c>
    </row>
    <row r="39" spans="1:13" ht="12.75">
      <c r="A39" s="208" t="s">
        <v>192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>
        <f t="shared" si="0"/>
        <v>0</v>
      </c>
      <c r="L39" s="7"/>
      <c r="M39" s="7">
        <f t="shared" si="1"/>
        <v>0</v>
      </c>
    </row>
    <row r="40" spans="1:13" ht="12.75">
      <c r="A40" s="208" t="s">
        <v>221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>
        <f t="shared" si="0"/>
        <v>0</v>
      </c>
      <c r="L40" s="7"/>
      <c r="M40" s="7">
        <f t="shared" si="1"/>
        <v>0</v>
      </c>
    </row>
    <row r="41" spans="1:13" ht="12.75">
      <c r="A41" s="208" t="s">
        <v>222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>
        <f t="shared" si="0"/>
        <v>0</v>
      </c>
      <c r="L41" s="7"/>
      <c r="M41" s="7">
        <f t="shared" si="1"/>
        <v>0</v>
      </c>
    </row>
    <row r="42" spans="1:13" ht="12.75">
      <c r="A42" s="208" t="s">
        <v>211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134693181</v>
      </c>
      <c r="K42" s="53">
        <f>K7+K27+K38+K40</f>
        <v>68100078</v>
      </c>
      <c r="L42" s="53">
        <f>L7+L27+L38+L40</f>
        <v>147911373</v>
      </c>
      <c r="M42" s="53">
        <f>M7+M27+M38+M40</f>
        <v>64363618</v>
      </c>
    </row>
    <row r="43" spans="1:13" ht="12.75">
      <c r="A43" s="208" t="s">
        <v>212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133324719</v>
      </c>
      <c r="K43" s="53">
        <f>K10+K33+K39+K41</f>
        <v>67748172</v>
      </c>
      <c r="L43" s="53">
        <f>L10+L33+L39+L41</f>
        <v>157281843</v>
      </c>
      <c r="M43" s="53">
        <f>M10+M33+M39+M41</f>
        <v>71458260</v>
      </c>
    </row>
    <row r="44" spans="1:13" ht="12.75">
      <c r="A44" s="208" t="s">
        <v>232</v>
      </c>
      <c r="B44" s="209"/>
      <c r="C44" s="209"/>
      <c r="D44" s="209"/>
      <c r="E44" s="209"/>
      <c r="F44" s="209"/>
      <c r="G44" s="209"/>
      <c r="H44" s="210"/>
      <c r="I44" s="1">
        <v>148</v>
      </c>
      <c r="J44" s="125">
        <f>J42-J43</f>
        <v>1368462</v>
      </c>
      <c r="K44" s="125">
        <f>K42-K43</f>
        <v>351906</v>
      </c>
      <c r="L44" s="125">
        <f>L42-L43</f>
        <v>-9370470</v>
      </c>
      <c r="M44" s="125">
        <f>M42-M43</f>
        <v>-7094642</v>
      </c>
    </row>
    <row r="45" spans="1:13" ht="12.75">
      <c r="A45" s="231" t="s">
        <v>214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3">
        <f>IF(J42&gt;J43,J42-J43,0)</f>
        <v>1368462</v>
      </c>
      <c r="K45" s="53">
        <f>IF(K42&gt;K43,K42-K43,0)</f>
        <v>351906</v>
      </c>
      <c r="L45" s="53">
        <f>IF(L42&gt;L43,L42-L43,0)</f>
        <v>0</v>
      </c>
      <c r="M45" s="53">
        <f>IF(M42&gt;M43,M42-M43,0)</f>
        <v>0</v>
      </c>
    </row>
    <row r="46" spans="1:13" ht="12.75">
      <c r="A46" s="231" t="s">
        <v>215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9370470</v>
      </c>
      <c r="M46" s="53">
        <f>IF(M43&gt;M42,M43-M42,0)</f>
        <v>7094642</v>
      </c>
    </row>
    <row r="47" spans="1:13" ht="12.75">
      <c r="A47" s="208" t="s">
        <v>213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326529</v>
      </c>
      <c r="K47" s="7">
        <f>+J47-61146</f>
        <v>265383</v>
      </c>
      <c r="L47" s="7">
        <v>0</v>
      </c>
      <c r="M47" s="7">
        <f>+L47-143092</f>
        <v>-143092</v>
      </c>
    </row>
    <row r="48" spans="1:13" ht="12.75">
      <c r="A48" s="208" t="s">
        <v>233</v>
      </c>
      <c r="B48" s="209"/>
      <c r="C48" s="209"/>
      <c r="D48" s="209"/>
      <c r="E48" s="209"/>
      <c r="F48" s="209"/>
      <c r="G48" s="209"/>
      <c r="H48" s="210"/>
      <c r="I48" s="1">
        <v>152</v>
      </c>
      <c r="J48" s="125">
        <f>J44-J47</f>
        <v>1041933</v>
      </c>
      <c r="K48" s="125">
        <f>K44-K47</f>
        <v>86523</v>
      </c>
      <c r="L48" s="125">
        <f>L44-L47</f>
        <v>-9370470</v>
      </c>
      <c r="M48" s="125">
        <f>M44-M47</f>
        <v>-6951550</v>
      </c>
    </row>
    <row r="49" spans="1:13" ht="12.75">
      <c r="A49" s="231" t="s">
        <v>188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3">
        <f>IF(J48&gt;0,J48,0)</f>
        <v>1041933</v>
      </c>
      <c r="K49" s="53">
        <f>IF(K48&gt;0,K48,0)</f>
        <v>86523</v>
      </c>
      <c r="L49" s="53">
        <f>IF(L48&gt;0,L48,0)</f>
        <v>0</v>
      </c>
      <c r="M49" s="53">
        <f>IF(M48&gt;0,M48,0)</f>
        <v>0</v>
      </c>
    </row>
    <row r="50" spans="1:13" ht="12.75">
      <c r="A50" s="266" t="s">
        <v>216</v>
      </c>
      <c r="B50" s="267"/>
      <c r="C50" s="267"/>
      <c r="D50" s="267"/>
      <c r="E50" s="267"/>
      <c r="F50" s="267"/>
      <c r="G50" s="267"/>
      <c r="H50" s="268"/>
      <c r="I50" s="4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9370470</v>
      </c>
      <c r="M50" s="60">
        <f>IF(M48&lt;0,-M48,0)</f>
        <v>6951550</v>
      </c>
    </row>
    <row r="51" spans="1:13" ht="12.75" customHeight="1">
      <c r="A51" s="263" t="s">
        <v>308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5"/>
    </row>
    <row r="52" spans="1:13" ht="12.75" customHeight="1">
      <c r="A52" s="244" t="s">
        <v>183</v>
      </c>
      <c r="B52" s="245"/>
      <c r="C52" s="245"/>
      <c r="D52" s="245"/>
      <c r="E52" s="245"/>
      <c r="F52" s="245"/>
      <c r="G52" s="245"/>
      <c r="H52" s="245"/>
      <c r="I52" s="54"/>
      <c r="J52" s="54"/>
      <c r="K52" s="54"/>
      <c r="L52" s="54"/>
      <c r="M52" s="134"/>
    </row>
    <row r="53" spans="1:13" ht="12.75">
      <c r="A53" s="260" t="s">
        <v>230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231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63" t="s">
        <v>185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5"/>
    </row>
    <row r="56" spans="1:13" ht="12.75">
      <c r="A56" s="244" t="s">
        <v>200</v>
      </c>
      <c r="B56" s="245"/>
      <c r="C56" s="245"/>
      <c r="D56" s="245"/>
      <c r="E56" s="245"/>
      <c r="F56" s="245"/>
      <c r="G56" s="245"/>
      <c r="H56" s="259"/>
      <c r="I56" s="9">
        <v>157</v>
      </c>
      <c r="J56" s="6">
        <f>+J48</f>
        <v>1041933</v>
      </c>
      <c r="K56" s="6">
        <f>+K48</f>
        <v>86523</v>
      </c>
      <c r="L56" s="6">
        <f>+L48</f>
        <v>-9370470</v>
      </c>
      <c r="M56" s="6">
        <f>+M48</f>
        <v>-6951550</v>
      </c>
    </row>
    <row r="57" spans="1:13" ht="12.75">
      <c r="A57" s="208" t="s">
        <v>217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v>0</v>
      </c>
    </row>
    <row r="58" spans="1:13" ht="12.75">
      <c r="A58" s="208" t="s">
        <v>224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8" t="s">
        <v>225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8" t="s">
        <v>41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8" t="s">
        <v>226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8" t="s">
        <v>227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8" t="s">
        <v>228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8" t="s">
        <v>229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8" t="s">
        <v>218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8" t="s">
        <v>189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190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0">
        <f>J56+J66</f>
        <v>1041933</v>
      </c>
      <c r="K67" s="60">
        <f>K56+K66</f>
        <v>86523</v>
      </c>
      <c r="L67" s="60">
        <f>L56+L66</f>
        <v>-9370470</v>
      </c>
      <c r="M67" s="60">
        <f>M56+M66</f>
        <v>-6951550</v>
      </c>
    </row>
    <row r="68" spans="1:13" ht="12.75" customHeight="1">
      <c r="A68" s="275" t="s">
        <v>309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7"/>
    </row>
    <row r="69" spans="1:13" ht="12.75" customHeight="1">
      <c r="A69" s="205" t="s">
        <v>184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7"/>
    </row>
    <row r="70" spans="1:13" ht="12.75">
      <c r="A70" s="260" t="s">
        <v>230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>
      <c r="A71" s="272" t="s">
        <v>231</v>
      </c>
      <c r="B71" s="273"/>
      <c r="C71" s="273"/>
      <c r="D71" s="273"/>
      <c r="E71" s="273"/>
      <c r="F71" s="273"/>
      <c r="G71" s="273"/>
      <c r="H71" s="27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10:M10 J7:J10 K7:M7 K42:M46 J12:J46 K12:M12 K11 K16:M16 K13:L15 K22:M22 K17:L21 K27:M27 K23:L26 K33:M33 K28:L32 K8:L9 K34:L41 M20:M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16384" width="9.140625" style="52" customWidth="1"/>
  </cols>
  <sheetData>
    <row r="1" spans="1:11" ht="18" customHeight="1">
      <c r="A1" s="324" t="s">
        <v>160</v>
      </c>
      <c r="B1" s="325"/>
      <c r="C1" s="325"/>
      <c r="D1" s="325"/>
      <c r="E1" s="325"/>
      <c r="F1" s="325"/>
      <c r="G1" s="325"/>
      <c r="H1" s="325"/>
      <c r="I1" s="325"/>
      <c r="J1" s="325"/>
      <c r="K1" s="326"/>
    </row>
    <row r="2" spans="1:11" ht="16.5" customHeight="1">
      <c r="A2" s="327" t="s">
        <v>346</v>
      </c>
      <c r="B2" s="282"/>
      <c r="C2" s="282"/>
      <c r="D2" s="282"/>
      <c r="E2" s="282"/>
      <c r="F2" s="282"/>
      <c r="G2" s="282"/>
      <c r="H2" s="282"/>
      <c r="I2" s="282"/>
      <c r="J2" s="282"/>
      <c r="K2" s="283"/>
    </row>
    <row r="3" spans="1:11" ht="15.75" customHeight="1">
      <c r="A3" s="278" t="s">
        <v>340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33.75">
      <c r="A4" s="284" t="s">
        <v>55</v>
      </c>
      <c r="B4" s="284"/>
      <c r="C4" s="284"/>
      <c r="D4" s="284"/>
      <c r="E4" s="284"/>
      <c r="F4" s="284"/>
      <c r="G4" s="284"/>
      <c r="H4" s="284"/>
      <c r="I4" s="64" t="s">
        <v>275</v>
      </c>
      <c r="J4" s="65" t="s">
        <v>315</v>
      </c>
      <c r="K4" s="65" t="s">
        <v>316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6">
        <v>2</v>
      </c>
      <c r="J5" s="67" t="s">
        <v>279</v>
      </c>
      <c r="K5" s="67" t="s">
        <v>280</v>
      </c>
    </row>
    <row r="6" spans="1:11" ht="12.75">
      <c r="A6" s="286" t="s">
        <v>152</v>
      </c>
      <c r="B6" s="287"/>
      <c r="C6" s="287"/>
      <c r="D6" s="287"/>
      <c r="E6" s="287"/>
      <c r="F6" s="287"/>
      <c r="G6" s="287"/>
      <c r="H6" s="287"/>
      <c r="I6" s="288"/>
      <c r="J6" s="288"/>
      <c r="K6" s="289"/>
    </row>
    <row r="7" spans="1:11" ht="12.75">
      <c r="A7" s="223" t="s">
        <v>36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1368462</v>
      </c>
      <c r="K7" s="7">
        <v>-9370470</v>
      </c>
    </row>
    <row r="8" spans="1:11" ht="12.75">
      <c r="A8" s="223" t="s">
        <v>37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6002060</v>
      </c>
      <c r="K8" s="7">
        <v>9344354</v>
      </c>
    </row>
    <row r="9" spans="1:11" ht="12.75">
      <c r="A9" s="223" t="s">
        <v>38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0</v>
      </c>
      <c r="K9" s="7">
        <v>72926254</v>
      </c>
    </row>
    <row r="10" spans="1:11" ht="12.75">
      <c r="A10" s="223" t="s">
        <v>39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0</v>
      </c>
      <c r="K10" s="7">
        <v>3231828</v>
      </c>
    </row>
    <row r="11" spans="1:11" ht="12.75">
      <c r="A11" s="223" t="s">
        <v>40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0</v>
      </c>
      <c r="K11" s="7">
        <v>3632787</v>
      </c>
    </row>
    <row r="12" spans="1:11" ht="12.75">
      <c r="A12" s="223" t="s">
        <v>47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13763444</v>
      </c>
      <c r="K12" s="7">
        <f>4445913-620750</f>
        <v>3825163</v>
      </c>
    </row>
    <row r="13" spans="1:11" ht="12.75">
      <c r="A13" s="208" t="s">
        <v>153</v>
      </c>
      <c r="B13" s="209"/>
      <c r="C13" s="209"/>
      <c r="D13" s="209"/>
      <c r="E13" s="209"/>
      <c r="F13" s="209"/>
      <c r="G13" s="209"/>
      <c r="H13" s="209"/>
      <c r="I13" s="1">
        <v>7</v>
      </c>
      <c r="J13" s="136">
        <f>SUM(J7:J12)</f>
        <v>21133966</v>
      </c>
      <c r="K13" s="125">
        <f>SUM(K7:K12)</f>
        <v>83589916</v>
      </c>
    </row>
    <row r="14" spans="1:11" ht="12.75">
      <c r="A14" s="223" t="s">
        <v>48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49020</v>
      </c>
      <c r="K14" s="7">
        <v>0</v>
      </c>
    </row>
    <row r="15" spans="1:11" ht="12.75">
      <c r="A15" s="223" t="s">
        <v>49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15947868</v>
      </c>
      <c r="K15" s="7">
        <v>0</v>
      </c>
    </row>
    <row r="16" spans="1:11" ht="12.75">
      <c r="A16" s="223" t="s">
        <v>50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7779862</v>
      </c>
      <c r="K16" s="7">
        <v>0</v>
      </c>
    </row>
    <row r="17" spans="1:11" ht="12.75">
      <c r="A17" s="223" t="s">
        <v>51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0</v>
      </c>
      <c r="K17" s="7">
        <v>0</v>
      </c>
    </row>
    <row r="18" spans="1:11" ht="12.75">
      <c r="A18" s="208" t="s">
        <v>154</v>
      </c>
      <c r="B18" s="209"/>
      <c r="C18" s="209"/>
      <c r="D18" s="209"/>
      <c r="E18" s="209"/>
      <c r="F18" s="209"/>
      <c r="G18" s="209"/>
      <c r="H18" s="209"/>
      <c r="I18" s="1">
        <v>12</v>
      </c>
      <c r="J18" s="136">
        <f>SUM(J14:J17)</f>
        <v>23776750</v>
      </c>
      <c r="K18" s="125"/>
    </row>
    <row r="19" spans="1:11" ht="12.75">
      <c r="A19" s="208" t="s">
        <v>32</v>
      </c>
      <c r="B19" s="209"/>
      <c r="C19" s="209"/>
      <c r="D19" s="209"/>
      <c r="E19" s="209"/>
      <c r="F19" s="209"/>
      <c r="G19" s="209"/>
      <c r="H19" s="209"/>
      <c r="I19" s="1">
        <v>13</v>
      </c>
      <c r="J19" s="62">
        <f>IF(J13&gt;J18,J13-J18,0)</f>
        <v>0</v>
      </c>
      <c r="K19" s="53">
        <f>IF(K13&gt;K18,K13-K18,0)</f>
        <v>83589916</v>
      </c>
    </row>
    <row r="20" spans="1:11" ht="12.75">
      <c r="A20" s="208" t="s">
        <v>33</v>
      </c>
      <c r="B20" s="209"/>
      <c r="C20" s="209"/>
      <c r="D20" s="209"/>
      <c r="E20" s="209"/>
      <c r="F20" s="209"/>
      <c r="G20" s="209"/>
      <c r="H20" s="209"/>
      <c r="I20" s="1">
        <v>14</v>
      </c>
      <c r="J20" s="62">
        <f>IF(J18&gt;J13,J18-J13,0)</f>
        <v>2642784</v>
      </c>
      <c r="K20" s="53">
        <f>IF(K18&gt;K13,K18-K13,0)</f>
        <v>0</v>
      </c>
    </row>
    <row r="21" spans="1:11" ht="12.75">
      <c r="A21" s="286" t="s">
        <v>155</v>
      </c>
      <c r="B21" s="287"/>
      <c r="C21" s="287"/>
      <c r="D21" s="287"/>
      <c r="E21" s="287"/>
      <c r="F21" s="287"/>
      <c r="G21" s="287"/>
      <c r="H21" s="287"/>
      <c r="I21" s="288"/>
      <c r="J21" s="288"/>
      <c r="K21" s="289"/>
    </row>
    <row r="22" spans="1:11" ht="12.75">
      <c r="A22" s="223" t="s">
        <v>174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0</v>
      </c>
      <c r="K22" s="7">
        <v>1431</v>
      </c>
    </row>
    <row r="23" spans="1:11" ht="12.75">
      <c r="A23" s="223" t="s">
        <v>175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0</v>
      </c>
      <c r="K23" s="7">
        <v>0</v>
      </c>
    </row>
    <row r="24" spans="1:11" ht="12.75">
      <c r="A24" s="223" t="s">
        <v>176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0</v>
      </c>
      <c r="K24" s="7">
        <v>0</v>
      </c>
    </row>
    <row r="25" spans="1:11" ht="12.75">
      <c r="A25" s="223" t="s">
        <v>177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0</v>
      </c>
      <c r="K25" s="7">
        <v>0</v>
      </c>
    </row>
    <row r="26" spans="1:11" ht="12.75">
      <c r="A26" s="223" t="s">
        <v>178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0</v>
      </c>
      <c r="K26" s="7">
        <v>0</v>
      </c>
    </row>
    <row r="27" spans="1:11" ht="12.75">
      <c r="A27" s="208" t="s">
        <v>164</v>
      </c>
      <c r="B27" s="209"/>
      <c r="C27" s="209"/>
      <c r="D27" s="209"/>
      <c r="E27" s="209"/>
      <c r="F27" s="209"/>
      <c r="G27" s="209"/>
      <c r="H27" s="209"/>
      <c r="I27" s="1">
        <v>20</v>
      </c>
      <c r="J27" s="136">
        <v>0</v>
      </c>
      <c r="K27" s="125">
        <f>SUM(K22:K26)</f>
        <v>1431</v>
      </c>
    </row>
    <row r="28" spans="1:11" ht="12.75">
      <c r="A28" s="223" t="s">
        <v>111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8238474</v>
      </c>
      <c r="K28" s="7">
        <f>49142574</f>
        <v>49142574</v>
      </c>
    </row>
    <row r="29" spans="1:11" ht="12.75">
      <c r="A29" s="223" t="s">
        <v>112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>
        <v>0</v>
      </c>
      <c r="K29" s="7">
        <v>750000</v>
      </c>
    </row>
    <row r="30" spans="1:11" ht="12.75">
      <c r="A30" s="223" t="s">
        <v>15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58831</v>
      </c>
      <c r="K30" s="7">
        <v>0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136">
        <f>SUM(J28:J30)</f>
        <v>8297305</v>
      </c>
      <c r="K31" s="125">
        <f>SUM(K28:K30)</f>
        <v>49892574</v>
      </c>
    </row>
    <row r="32" spans="1:11" ht="12.75">
      <c r="A32" s="208" t="s">
        <v>34</v>
      </c>
      <c r="B32" s="209"/>
      <c r="C32" s="209"/>
      <c r="D32" s="209"/>
      <c r="E32" s="209"/>
      <c r="F32" s="209"/>
      <c r="G32" s="209"/>
      <c r="H32" s="209"/>
      <c r="I32" s="1">
        <v>25</v>
      </c>
      <c r="J32" s="62">
        <f>IF(J27&gt;J31,J27-J31,0)</f>
        <v>0</v>
      </c>
      <c r="K32" s="53">
        <f>IF(K27&gt;K31,K27-K31,0)</f>
        <v>0</v>
      </c>
    </row>
    <row r="33" spans="1:11" ht="12.75">
      <c r="A33" s="208" t="s">
        <v>35</v>
      </c>
      <c r="B33" s="209"/>
      <c r="C33" s="209"/>
      <c r="D33" s="209"/>
      <c r="E33" s="209"/>
      <c r="F33" s="209"/>
      <c r="G33" s="209"/>
      <c r="H33" s="209"/>
      <c r="I33" s="1">
        <v>26</v>
      </c>
      <c r="J33" s="62">
        <f>IF(J31&gt;J27,J31-J27,0)</f>
        <v>8297305</v>
      </c>
      <c r="K33" s="53">
        <f>IF(K31&gt;K27,K31-K27,0)</f>
        <v>49891143</v>
      </c>
    </row>
    <row r="34" spans="1:11" ht="12.75">
      <c r="A34" s="286" t="s">
        <v>156</v>
      </c>
      <c r="B34" s="287"/>
      <c r="C34" s="287"/>
      <c r="D34" s="287"/>
      <c r="E34" s="287"/>
      <c r="F34" s="287"/>
      <c r="G34" s="287"/>
      <c r="H34" s="287"/>
      <c r="I34" s="288"/>
      <c r="J34" s="288"/>
      <c r="K34" s="289"/>
    </row>
    <row r="35" spans="1:11" ht="12.75">
      <c r="A35" s="223" t="s">
        <v>170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>
        <v>0</v>
      </c>
      <c r="K35" s="7">
        <v>0</v>
      </c>
    </row>
    <row r="36" spans="1:11" ht="12.75">
      <c r="A36" s="223" t="s">
        <v>25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71000</v>
      </c>
      <c r="K36" s="7">
        <v>0</v>
      </c>
    </row>
    <row r="37" spans="1:11" ht="12.75">
      <c r="A37" s="223" t="s">
        <v>26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0</v>
      </c>
      <c r="K37" s="7">
        <v>0</v>
      </c>
    </row>
    <row r="38" spans="1:11" ht="12.75">
      <c r="A38" s="208" t="s">
        <v>64</v>
      </c>
      <c r="B38" s="209"/>
      <c r="C38" s="209"/>
      <c r="D38" s="209"/>
      <c r="E38" s="209"/>
      <c r="F38" s="209"/>
      <c r="G38" s="209"/>
      <c r="H38" s="209"/>
      <c r="I38" s="1">
        <v>30</v>
      </c>
      <c r="J38" s="125">
        <f>SUM(J35:J37)</f>
        <v>71000</v>
      </c>
      <c r="K38" s="125">
        <f>SUM(K35:K37)</f>
        <v>0</v>
      </c>
    </row>
    <row r="39" spans="1:11" ht="12.75">
      <c r="A39" s="223" t="s">
        <v>27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0</v>
      </c>
      <c r="K39" s="7">
        <v>0</v>
      </c>
    </row>
    <row r="40" spans="1:11" ht="12.75">
      <c r="A40" s="223" t="s">
        <v>28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>
        <v>0</v>
      </c>
      <c r="K40" s="7">
        <v>0</v>
      </c>
    </row>
    <row r="41" spans="1:11" ht="12.75">
      <c r="A41" s="223" t="s">
        <v>29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>
        <v>245871</v>
      </c>
      <c r="K41" s="7">
        <v>264597</v>
      </c>
    </row>
    <row r="42" spans="1:11" ht="12.75">
      <c r="A42" s="223" t="s">
        <v>30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4885361</v>
      </c>
      <c r="K42" s="7">
        <v>0</v>
      </c>
    </row>
    <row r="43" spans="1:11" ht="12.75">
      <c r="A43" s="223" t="s">
        <v>31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f>56677+111000</f>
        <v>167677</v>
      </c>
      <c r="K43" s="7">
        <f>20320+150000</f>
        <v>170320</v>
      </c>
    </row>
    <row r="44" spans="1:11" ht="12.75">
      <c r="A44" s="208" t="s">
        <v>65</v>
      </c>
      <c r="B44" s="209"/>
      <c r="C44" s="209"/>
      <c r="D44" s="209"/>
      <c r="E44" s="209"/>
      <c r="F44" s="209"/>
      <c r="G44" s="209"/>
      <c r="H44" s="209"/>
      <c r="I44" s="1">
        <v>36</v>
      </c>
      <c r="J44" s="136">
        <f>SUM(J39:J43)</f>
        <v>5298909</v>
      </c>
      <c r="K44" s="125">
        <f>SUM(K39:K43)</f>
        <v>434917</v>
      </c>
    </row>
    <row r="45" spans="1:11" ht="12.75">
      <c r="A45" s="208" t="s">
        <v>16</v>
      </c>
      <c r="B45" s="209"/>
      <c r="C45" s="209"/>
      <c r="D45" s="209"/>
      <c r="E45" s="209"/>
      <c r="F45" s="209"/>
      <c r="G45" s="209"/>
      <c r="H45" s="209"/>
      <c r="I45" s="1">
        <v>37</v>
      </c>
      <c r="J45" s="62">
        <f>IF(J38&gt;J44,J38-J44,0)</f>
        <v>0</v>
      </c>
      <c r="K45" s="53">
        <f>IF(K38&gt;K44,K38-K44,0)</f>
        <v>0</v>
      </c>
    </row>
    <row r="46" spans="1:11" ht="12.75">
      <c r="A46" s="208" t="s">
        <v>17</v>
      </c>
      <c r="B46" s="209"/>
      <c r="C46" s="209"/>
      <c r="D46" s="209"/>
      <c r="E46" s="209"/>
      <c r="F46" s="209"/>
      <c r="G46" s="209"/>
      <c r="H46" s="209"/>
      <c r="I46" s="1">
        <v>38</v>
      </c>
      <c r="J46" s="136">
        <f>IF(J44&gt;J38,J44-J38,0)</f>
        <v>5227909</v>
      </c>
      <c r="K46" s="125">
        <f>IF(K44&gt;K38,K44-K38,0)</f>
        <v>434917</v>
      </c>
    </row>
    <row r="47" spans="1:11" ht="12.75">
      <c r="A47" s="223" t="s">
        <v>66</v>
      </c>
      <c r="B47" s="224"/>
      <c r="C47" s="224"/>
      <c r="D47" s="224"/>
      <c r="E47" s="224"/>
      <c r="F47" s="224"/>
      <c r="G47" s="224"/>
      <c r="H47" s="224"/>
      <c r="I47" s="1">
        <v>39</v>
      </c>
      <c r="J47" s="62">
        <f>IF(J19-J20+J32-J33+J45-J46&gt;0,J19-J20+J32-J33+J45-J46,0)</f>
        <v>0</v>
      </c>
      <c r="K47" s="53">
        <f>IF(K19-K20+K32-K33+K45-K46&gt;0,K19-K20+K32-K33+K45-K46,0)</f>
        <v>33263856</v>
      </c>
    </row>
    <row r="48" spans="1:11" ht="12.75">
      <c r="A48" s="223" t="s">
        <v>67</v>
      </c>
      <c r="B48" s="224"/>
      <c r="C48" s="224"/>
      <c r="D48" s="224"/>
      <c r="E48" s="224"/>
      <c r="F48" s="224"/>
      <c r="G48" s="224"/>
      <c r="H48" s="224"/>
      <c r="I48" s="1">
        <v>40</v>
      </c>
      <c r="J48" s="62">
        <f>IF(J20-J19+J33-J32+J46-J45&gt;0,J20-J19+J33-J32+J46-J45,0)</f>
        <v>16167998</v>
      </c>
      <c r="K48" s="53">
        <f>IF(K20-K19+K33-K32+K46-K45&gt;0,K20-K19+K33-K32+K46-K45,0)</f>
        <v>0</v>
      </c>
    </row>
    <row r="49" spans="1:11" ht="12.75">
      <c r="A49" s="223" t="s">
        <v>157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63855139</v>
      </c>
      <c r="K49" s="7">
        <v>35834037</v>
      </c>
    </row>
    <row r="50" spans="1:11" ht="12.75">
      <c r="A50" s="223" t="s">
        <v>171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+J47</f>
        <v>0</v>
      </c>
      <c r="K50" s="7">
        <f>+K47</f>
        <v>33263856</v>
      </c>
    </row>
    <row r="51" spans="1:11" ht="12.75">
      <c r="A51" s="223" t="s">
        <v>172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+J48</f>
        <v>16167998</v>
      </c>
      <c r="K51" s="7">
        <f>+K48</f>
        <v>0</v>
      </c>
    </row>
    <row r="52" spans="1:11" ht="12.75">
      <c r="A52" s="248" t="s">
        <v>173</v>
      </c>
      <c r="B52" s="249"/>
      <c r="C52" s="249"/>
      <c r="D52" s="249"/>
      <c r="E52" s="249"/>
      <c r="F52" s="249"/>
      <c r="G52" s="249"/>
      <c r="H52" s="249"/>
      <c r="I52" s="4">
        <v>44</v>
      </c>
      <c r="J52" s="137">
        <f>J49+J50-J51</f>
        <v>47687141</v>
      </c>
      <c r="K52" s="138">
        <f>K49+K50-K51</f>
        <v>69097893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38:K38 J18:K20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1" t="s">
        <v>193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91" t="s">
        <v>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90" t="s">
        <v>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33.75">
      <c r="A4" s="284" t="s">
        <v>55</v>
      </c>
      <c r="B4" s="284"/>
      <c r="C4" s="284"/>
      <c r="D4" s="284"/>
      <c r="E4" s="284"/>
      <c r="F4" s="284"/>
      <c r="G4" s="284"/>
      <c r="H4" s="284"/>
      <c r="I4" s="64" t="s">
        <v>275</v>
      </c>
      <c r="J4" s="65" t="s">
        <v>315</v>
      </c>
      <c r="K4" s="65" t="s">
        <v>316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70">
        <v>2</v>
      </c>
      <c r="J5" s="71" t="s">
        <v>279</v>
      </c>
      <c r="K5" s="71" t="s">
        <v>280</v>
      </c>
    </row>
    <row r="6" spans="1:11" ht="12.75">
      <c r="A6" s="240" t="s">
        <v>152</v>
      </c>
      <c r="B6" s="241"/>
      <c r="C6" s="241"/>
      <c r="D6" s="241"/>
      <c r="E6" s="241"/>
      <c r="F6" s="241"/>
      <c r="G6" s="241"/>
      <c r="H6" s="241"/>
      <c r="I6" s="293"/>
      <c r="J6" s="293"/>
      <c r="K6" s="294"/>
    </row>
    <row r="7" spans="1:11" ht="12.75">
      <c r="A7" s="223" t="s">
        <v>195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115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116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117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118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08" t="s">
        <v>194</v>
      </c>
      <c r="B12" s="209"/>
      <c r="C12" s="209"/>
      <c r="D12" s="209"/>
      <c r="E12" s="209"/>
      <c r="F12" s="209"/>
      <c r="G12" s="209"/>
      <c r="H12" s="209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23" t="s">
        <v>119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120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121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122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123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124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08" t="s">
        <v>43</v>
      </c>
      <c r="B19" s="209"/>
      <c r="C19" s="209"/>
      <c r="D19" s="209"/>
      <c r="E19" s="209"/>
      <c r="F19" s="209"/>
      <c r="G19" s="209"/>
      <c r="H19" s="209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08" t="s">
        <v>104</v>
      </c>
      <c r="B20" s="295"/>
      <c r="C20" s="295"/>
      <c r="D20" s="295"/>
      <c r="E20" s="295"/>
      <c r="F20" s="295"/>
      <c r="G20" s="295"/>
      <c r="H20" s="296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6" t="s">
        <v>105</v>
      </c>
      <c r="B21" s="297"/>
      <c r="C21" s="297"/>
      <c r="D21" s="297"/>
      <c r="E21" s="297"/>
      <c r="F21" s="297"/>
      <c r="G21" s="297"/>
      <c r="H21" s="298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40" t="s">
        <v>155</v>
      </c>
      <c r="B22" s="241"/>
      <c r="C22" s="241"/>
      <c r="D22" s="241"/>
      <c r="E22" s="241"/>
      <c r="F22" s="241"/>
      <c r="G22" s="241"/>
      <c r="H22" s="241"/>
      <c r="I22" s="293"/>
      <c r="J22" s="293"/>
      <c r="K22" s="294"/>
    </row>
    <row r="23" spans="1:11" ht="12.75">
      <c r="A23" s="223" t="s">
        <v>161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162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317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318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163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08" t="s">
        <v>110</v>
      </c>
      <c r="B28" s="209"/>
      <c r="C28" s="209"/>
      <c r="D28" s="209"/>
      <c r="E28" s="209"/>
      <c r="F28" s="209"/>
      <c r="G28" s="209"/>
      <c r="H28" s="209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08" t="s">
        <v>44</v>
      </c>
      <c r="B32" s="209"/>
      <c r="C32" s="209"/>
      <c r="D32" s="209"/>
      <c r="E32" s="209"/>
      <c r="F32" s="209"/>
      <c r="G32" s="209"/>
      <c r="H32" s="209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08" t="s">
        <v>106</v>
      </c>
      <c r="B33" s="209"/>
      <c r="C33" s="209"/>
      <c r="D33" s="209"/>
      <c r="E33" s="209"/>
      <c r="F33" s="209"/>
      <c r="G33" s="209"/>
      <c r="H33" s="209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08" t="s">
        <v>107</v>
      </c>
      <c r="B34" s="209"/>
      <c r="C34" s="209"/>
      <c r="D34" s="209"/>
      <c r="E34" s="209"/>
      <c r="F34" s="209"/>
      <c r="G34" s="209"/>
      <c r="H34" s="209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40" t="s">
        <v>156</v>
      </c>
      <c r="B35" s="241"/>
      <c r="C35" s="241"/>
      <c r="D35" s="241"/>
      <c r="E35" s="241"/>
      <c r="F35" s="241"/>
      <c r="G35" s="241"/>
      <c r="H35" s="241"/>
      <c r="I35" s="293">
        <v>0</v>
      </c>
      <c r="J35" s="293"/>
      <c r="K35" s="294"/>
    </row>
    <row r="36" spans="1:11" ht="12.75">
      <c r="A36" s="223" t="s">
        <v>170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25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26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08" t="s">
        <v>45</v>
      </c>
      <c r="B39" s="209"/>
      <c r="C39" s="209"/>
      <c r="D39" s="209"/>
      <c r="E39" s="209"/>
      <c r="F39" s="209"/>
      <c r="G39" s="209"/>
      <c r="H39" s="209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23" t="s">
        <v>27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28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29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30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31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08" t="s">
        <v>144</v>
      </c>
      <c r="B45" s="209"/>
      <c r="C45" s="209"/>
      <c r="D45" s="209"/>
      <c r="E45" s="209"/>
      <c r="F45" s="209"/>
      <c r="G45" s="209"/>
      <c r="H45" s="209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08" t="s">
        <v>158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08" t="s">
        <v>159</v>
      </c>
      <c r="B47" s="209"/>
      <c r="C47" s="209"/>
      <c r="D47" s="209"/>
      <c r="E47" s="209"/>
      <c r="F47" s="209"/>
      <c r="G47" s="209"/>
      <c r="H47" s="209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08" t="s">
        <v>145</v>
      </c>
      <c r="B48" s="209"/>
      <c r="C48" s="209"/>
      <c r="D48" s="209"/>
      <c r="E48" s="209"/>
      <c r="F48" s="209"/>
      <c r="G48" s="209"/>
      <c r="H48" s="209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14</v>
      </c>
      <c r="B49" s="209"/>
      <c r="C49" s="209"/>
      <c r="D49" s="209"/>
      <c r="E49" s="209"/>
      <c r="F49" s="209"/>
      <c r="G49" s="209"/>
      <c r="H49" s="209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157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171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172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6" t="s">
        <v>173</v>
      </c>
      <c r="B53" s="227"/>
      <c r="C53" s="227"/>
      <c r="D53" s="227"/>
      <c r="E53" s="227"/>
      <c r="F53" s="227"/>
      <c r="G53" s="227"/>
      <c r="H53" s="227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6.5" customHeight="1">
      <c r="A1" s="305" t="s">
        <v>277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73"/>
    </row>
    <row r="2" spans="1:12" ht="15.75">
      <c r="A2" s="42"/>
      <c r="B2" s="72"/>
      <c r="C2" s="315" t="s">
        <v>278</v>
      </c>
      <c r="D2" s="316"/>
      <c r="E2" s="75">
        <v>40909</v>
      </c>
      <c r="F2" s="43" t="s">
        <v>246</v>
      </c>
      <c r="G2" s="317">
        <v>41090</v>
      </c>
      <c r="H2" s="318"/>
      <c r="I2" s="72"/>
      <c r="J2" s="72"/>
      <c r="K2" s="135" t="s">
        <v>341</v>
      </c>
      <c r="L2" s="76"/>
    </row>
    <row r="3" spans="1:11" ht="23.25">
      <c r="A3" s="319" t="s">
        <v>55</v>
      </c>
      <c r="B3" s="319"/>
      <c r="C3" s="319"/>
      <c r="D3" s="319"/>
      <c r="E3" s="319"/>
      <c r="F3" s="319"/>
      <c r="G3" s="319"/>
      <c r="H3" s="319"/>
      <c r="I3" s="78" t="s">
        <v>301</v>
      </c>
      <c r="J3" s="79" t="s">
        <v>146</v>
      </c>
      <c r="K3" s="79" t="s">
        <v>147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81">
        <v>2</v>
      </c>
      <c r="J4" s="80" t="s">
        <v>279</v>
      </c>
      <c r="K4" s="80" t="s">
        <v>280</v>
      </c>
    </row>
    <row r="5" spans="1:11" ht="12.75">
      <c r="A5" s="307" t="s">
        <v>281</v>
      </c>
      <c r="B5" s="308"/>
      <c r="C5" s="308"/>
      <c r="D5" s="308"/>
      <c r="E5" s="308"/>
      <c r="F5" s="308"/>
      <c r="G5" s="308"/>
      <c r="H5" s="308"/>
      <c r="I5" s="44">
        <v>1</v>
      </c>
      <c r="J5" s="45">
        <v>168132470</v>
      </c>
      <c r="K5" s="45">
        <v>168132470</v>
      </c>
    </row>
    <row r="6" spans="1:11" ht="12.75">
      <c r="A6" s="307" t="s">
        <v>282</v>
      </c>
      <c r="B6" s="308"/>
      <c r="C6" s="308"/>
      <c r="D6" s="308"/>
      <c r="E6" s="308"/>
      <c r="F6" s="308"/>
      <c r="G6" s="308"/>
      <c r="H6" s="308"/>
      <c r="I6" s="44">
        <v>2</v>
      </c>
      <c r="J6" s="46">
        <v>0</v>
      </c>
      <c r="K6" s="46">
        <v>0</v>
      </c>
    </row>
    <row r="7" spans="1:11" ht="12.75">
      <c r="A7" s="307" t="s">
        <v>283</v>
      </c>
      <c r="B7" s="308"/>
      <c r="C7" s="308"/>
      <c r="D7" s="308"/>
      <c r="E7" s="308"/>
      <c r="F7" s="308"/>
      <c r="G7" s="308"/>
      <c r="H7" s="308"/>
      <c r="I7" s="44">
        <v>3</v>
      </c>
      <c r="J7" s="46">
        <v>50230875</v>
      </c>
      <c r="K7" s="46">
        <v>54302039</v>
      </c>
    </row>
    <row r="8" spans="1:11" ht="12.75">
      <c r="A8" s="307" t="s">
        <v>284</v>
      </c>
      <c r="B8" s="308"/>
      <c r="C8" s="308"/>
      <c r="D8" s="308"/>
      <c r="E8" s="308"/>
      <c r="F8" s="308"/>
      <c r="G8" s="308"/>
      <c r="H8" s="308"/>
      <c r="I8" s="44">
        <v>4</v>
      </c>
      <c r="J8" s="46">
        <v>0</v>
      </c>
      <c r="K8" s="46">
        <v>0</v>
      </c>
    </row>
    <row r="9" spans="1:11" ht="12.75">
      <c r="A9" s="307" t="s">
        <v>285</v>
      </c>
      <c r="B9" s="308"/>
      <c r="C9" s="308"/>
      <c r="D9" s="308"/>
      <c r="E9" s="308"/>
      <c r="F9" s="308"/>
      <c r="G9" s="308"/>
      <c r="H9" s="308"/>
      <c r="I9" s="44">
        <v>5</v>
      </c>
      <c r="J9" s="46">
        <v>4071164</v>
      </c>
      <c r="K9" s="46">
        <f>-9585108+214638</f>
        <v>-9370470</v>
      </c>
    </row>
    <row r="10" spans="1:11" ht="12.75">
      <c r="A10" s="307" t="s">
        <v>286</v>
      </c>
      <c r="B10" s="308"/>
      <c r="C10" s="308"/>
      <c r="D10" s="308"/>
      <c r="E10" s="308"/>
      <c r="F10" s="308"/>
      <c r="G10" s="308"/>
      <c r="H10" s="308"/>
      <c r="I10" s="44">
        <v>6</v>
      </c>
      <c r="J10" s="46">
        <v>0</v>
      </c>
      <c r="K10" s="46">
        <v>0</v>
      </c>
    </row>
    <row r="11" spans="1:11" ht="12.75">
      <c r="A11" s="307" t="s">
        <v>287</v>
      </c>
      <c r="B11" s="308"/>
      <c r="C11" s="308"/>
      <c r="D11" s="308"/>
      <c r="E11" s="308"/>
      <c r="F11" s="308"/>
      <c r="G11" s="308"/>
      <c r="H11" s="308"/>
      <c r="I11" s="44">
        <v>7</v>
      </c>
      <c r="J11" s="46">
        <v>0</v>
      </c>
      <c r="K11" s="46">
        <v>0</v>
      </c>
    </row>
    <row r="12" spans="1:11" ht="12.75">
      <c r="A12" s="307" t="s">
        <v>288</v>
      </c>
      <c r="B12" s="308"/>
      <c r="C12" s="308"/>
      <c r="D12" s="308"/>
      <c r="E12" s="308"/>
      <c r="F12" s="308"/>
      <c r="G12" s="308"/>
      <c r="H12" s="308"/>
      <c r="I12" s="44">
        <v>8</v>
      </c>
      <c r="J12" s="46">
        <v>0</v>
      </c>
      <c r="K12" s="46">
        <v>0</v>
      </c>
    </row>
    <row r="13" spans="1:11" ht="12.75">
      <c r="A13" s="307" t="s">
        <v>289</v>
      </c>
      <c r="B13" s="308"/>
      <c r="C13" s="308"/>
      <c r="D13" s="308"/>
      <c r="E13" s="308"/>
      <c r="F13" s="308"/>
      <c r="G13" s="308"/>
      <c r="H13" s="308"/>
      <c r="I13" s="44">
        <v>9</v>
      </c>
      <c r="J13" s="46">
        <v>0</v>
      </c>
      <c r="K13" s="46">
        <v>0</v>
      </c>
    </row>
    <row r="14" spans="1:11" ht="12.75">
      <c r="A14" s="309" t="s">
        <v>290</v>
      </c>
      <c r="B14" s="310"/>
      <c r="C14" s="310"/>
      <c r="D14" s="310"/>
      <c r="E14" s="310"/>
      <c r="F14" s="310"/>
      <c r="G14" s="310"/>
      <c r="H14" s="310"/>
      <c r="I14" s="44">
        <v>10</v>
      </c>
      <c r="J14" s="125">
        <f>SUM(J5:J13)</f>
        <v>222434509</v>
      </c>
      <c r="K14" s="125">
        <f>SUM(K5:K13)</f>
        <v>213064039</v>
      </c>
    </row>
    <row r="15" spans="1:11" ht="12.75">
      <c r="A15" s="307" t="s">
        <v>291</v>
      </c>
      <c r="B15" s="308"/>
      <c r="C15" s="308"/>
      <c r="D15" s="308"/>
      <c r="E15" s="308"/>
      <c r="F15" s="308"/>
      <c r="G15" s="308"/>
      <c r="H15" s="308"/>
      <c r="I15" s="44">
        <v>11</v>
      </c>
      <c r="J15" s="46">
        <v>0</v>
      </c>
      <c r="K15" s="46">
        <v>0</v>
      </c>
    </row>
    <row r="16" spans="1:11" ht="12.75">
      <c r="A16" s="307" t="s">
        <v>292</v>
      </c>
      <c r="B16" s="308"/>
      <c r="C16" s="308"/>
      <c r="D16" s="308"/>
      <c r="E16" s="308"/>
      <c r="F16" s="308"/>
      <c r="G16" s="308"/>
      <c r="H16" s="308"/>
      <c r="I16" s="44">
        <v>12</v>
      </c>
      <c r="J16" s="46">
        <v>0</v>
      </c>
      <c r="K16" s="46">
        <v>0</v>
      </c>
    </row>
    <row r="17" spans="1:11" ht="12.75">
      <c r="A17" s="307" t="s">
        <v>293</v>
      </c>
      <c r="B17" s="308"/>
      <c r="C17" s="308"/>
      <c r="D17" s="308"/>
      <c r="E17" s="308"/>
      <c r="F17" s="308"/>
      <c r="G17" s="308"/>
      <c r="H17" s="308"/>
      <c r="I17" s="44">
        <v>13</v>
      </c>
      <c r="J17" s="46">
        <v>0</v>
      </c>
      <c r="K17" s="46">
        <v>0</v>
      </c>
    </row>
    <row r="18" spans="1:11" ht="12.75">
      <c r="A18" s="307" t="s">
        <v>294</v>
      </c>
      <c r="B18" s="308"/>
      <c r="C18" s="308"/>
      <c r="D18" s="308"/>
      <c r="E18" s="308"/>
      <c r="F18" s="308"/>
      <c r="G18" s="308"/>
      <c r="H18" s="308"/>
      <c r="I18" s="44">
        <v>14</v>
      </c>
      <c r="J18" s="46">
        <v>0</v>
      </c>
      <c r="K18" s="46">
        <v>0</v>
      </c>
    </row>
    <row r="19" spans="1:11" ht="12.75">
      <c r="A19" s="307" t="s">
        <v>295</v>
      </c>
      <c r="B19" s="308"/>
      <c r="C19" s="308"/>
      <c r="D19" s="308"/>
      <c r="E19" s="308"/>
      <c r="F19" s="308"/>
      <c r="G19" s="308"/>
      <c r="H19" s="308"/>
      <c r="I19" s="44">
        <v>15</v>
      </c>
      <c r="J19" s="46">
        <v>0</v>
      </c>
      <c r="K19" s="46">
        <v>0</v>
      </c>
    </row>
    <row r="20" spans="1:11" ht="12.75">
      <c r="A20" s="307" t="s">
        <v>296</v>
      </c>
      <c r="B20" s="308"/>
      <c r="C20" s="308"/>
      <c r="D20" s="308"/>
      <c r="E20" s="308"/>
      <c r="F20" s="308"/>
      <c r="G20" s="308"/>
      <c r="H20" s="308"/>
      <c r="I20" s="44">
        <v>16</v>
      </c>
      <c r="J20" s="46">
        <v>0</v>
      </c>
      <c r="K20" s="46">
        <v>0</v>
      </c>
    </row>
    <row r="21" spans="1:11" ht="12.75">
      <c r="A21" s="309" t="s">
        <v>297</v>
      </c>
      <c r="B21" s="310"/>
      <c r="C21" s="310"/>
      <c r="D21" s="310"/>
      <c r="E21" s="310"/>
      <c r="F21" s="310"/>
      <c r="G21" s="310"/>
      <c r="H21" s="310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299" t="s">
        <v>298</v>
      </c>
      <c r="B23" s="300"/>
      <c r="C23" s="300"/>
      <c r="D23" s="300"/>
      <c r="E23" s="300"/>
      <c r="F23" s="300"/>
      <c r="G23" s="300"/>
      <c r="H23" s="300"/>
      <c r="I23" s="47">
        <v>18</v>
      </c>
      <c r="J23" s="45"/>
      <c r="K23" s="45"/>
    </row>
    <row r="24" spans="1:11" ht="17.25" customHeight="1">
      <c r="A24" s="301" t="s">
        <v>299</v>
      </c>
      <c r="B24" s="302"/>
      <c r="C24" s="302"/>
      <c r="D24" s="302"/>
      <c r="E24" s="302"/>
      <c r="F24" s="302"/>
      <c r="G24" s="302"/>
      <c r="H24" s="302"/>
      <c r="I24" s="48">
        <v>19</v>
      </c>
      <c r="J24" s="77"/>
      <c r="K24" s="77"/>
    </row>
    <row r="25" spans="1:11" ht="30" customHeight="1">
      <c r="A25" s="303" t="s">
        <v>300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1" t="s">
        <v>276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2" t="s">
        <v>312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2.7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 customHeight="1">
      <c r="A7" s="322"/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2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12.75" customHeight="1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2.75" customHeight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ht="12.75">
      <c r="A11" s="323"/>
      <c r="B11" s="323"/>
      <c r="C11" s="323"/>
      <c r="D11" s="323"/>
      <c r="E11" s="323"/>
      <c r="F11" s="323"/>
      <c r="G11" s="323"/>
      <c r="H11" s="323"/>
      <c r="I11" s="323"/>
      <c r="J11" s="32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2012-07-27T05:14:54Z</cp:lastPrinted>
  <dcterms:created xsi:type="dcterms:W3CDTF">2008-10-17T11:51:54Z</dcterms:created>
  <dcterms:modified xsi:type="dcterms:W3CDTF">2012-07-27T05:20:24Z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