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<sst xmlns="http://schemas.openxmlformats.org/spreadsheetml/2006/main" count="397" uniqueCount="346">
  <si>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</si>
  <si>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</si>
  <si>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</si>
  <si>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</si>
  <si>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</si>
  <si>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</si>
  <si>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</si>
  <si>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</si>
  <si>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</si>
  <si>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</si>
  <si>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</si>
  <si>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</si>
  <si>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</si>
  <si>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</si>
  <si>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</si>
  <si>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</si>
  <si>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</si>
  <si>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</si>
  <si>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</si>
  <si>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</si>
  <si>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</si>
  <si>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</si>
  <si>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</si>
  <si>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</si>
  <si>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</si>
  <si>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</si>
  <si>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</si>
  <si>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</si>
  <si>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</si>
  <si>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</si>
  <si>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</si>
  <si>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</si>
  <si>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</si>
  <si>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</si>
  <si>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</si>
  <si>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</si>
  <si>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</si>
  <si>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</si>
  <si>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</si>
  <si>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</si>
  <si>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</si>
  <si>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</si>
  <si>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</si>
  <si>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</si>
  <si>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</si>
  <si>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</si>
  <si>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</si>
  <si>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</si>
  <si>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</si>
  <si>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</si>
  <si>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</si>
  <si>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</si>
  <si>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</si>
  <si>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</si>
  <si>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</si>
  <si>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</si>
  <si>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</si>
  <si>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</si>
  <si>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</si>
  <si>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</si>
  <si>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</si>
  <si>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</si>
  <si>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</si>
  <si>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</si>
  <si>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</si>
  <si>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</si>
  <si>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</si>
  <si>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</si>
  <si>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</si>
  <si>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</si>
  <si>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</si>
  <si>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</si>
  <si>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</si>
  <si>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</si>
  <si>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</si>
  <si>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</si>
  <si>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</si>
  <si>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</si>
  <si>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</si>
  <si>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</si>
  <si>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</si>
  <si>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</si>
  <si>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</si>
  <si>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</si>
  <si>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</si>
  <si>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</si>
  <si>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</si>
  <si>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</si>
  <si>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</si>
  <si>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</si>
  <si>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</si>
  <si>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</si>
  <si>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</si>
  <si>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</si>
  <si>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</si>
  <si>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</si>
  <si>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</si>
  <si>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</si>
  <si>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</si>
  <si>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</si>
  <si>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</si>
  <si>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</si>
  <si>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</si>
  <si>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</si>
  <si>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</si>
  <si>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</si>
  <si>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</si>
  <si>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</si>
  <si>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</si>
  <si>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</si>
  <si>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</si>
  <si>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</si>
  <si>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</si>
  <si>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</si>
  <si>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</si>
  <si>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</si>
  <si>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</si>
  <si>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</si>
  <si>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</si>
  <si>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</si>
  <si>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</si>
  <si>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</si>
  <si>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</si>
  <si>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</si>
  <si>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</si>
  <si>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</si>
  <si>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</si>
  <si>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</si>
  <si>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</si>
  <si>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</si>
  <si>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</si>
  <si>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</si>
  <si>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</si>
  <si>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</si>
  <si>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</si>
  <si>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</si>
  <si>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</si>
  <si>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</si>
  <si>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</si>
  <si>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</si>
  <si>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</si>
  <si>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</si>
  <si>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</si>
  <si>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</si>
  <si>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</si>
  <si>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</si>
  <si>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</si>
  <si>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</si>
  <si>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</si>
  <si>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</si>
  <si>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</si>
  <si>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</si>
  <si>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</si>
  <si>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</si>
  <si>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</si>
  <si>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</si>
  <si>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</si>
  <si>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</si>
  <si>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</si>
  <si>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</si>
  <si>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</si>
  <si>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</si>
  <si>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</si>
  <si>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</si>
  <si>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</si>
  <si>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</si>
  <si>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</si>
  <si>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</si>
  <si>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</si>
  <si>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</si>
  <si>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</si>
  <si>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</si>
  <si>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</si>
  <si>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</si>
  <si>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</si>
  <si>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</si>
  <si>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</si>
  <si>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</si>
  <si>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</si>
  <si>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</si>
  <si>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</si>
  <si>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</si>
  <si>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</si>
  <si>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</si>
  <si>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</si>
  <si>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</si>
  <si>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</si>
  <si>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</si>
  <si>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</si>
  <si>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</si>
  <si>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</si>
  <si>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</si>
  <si>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</si>
  <si>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</si>
  <si>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</si>
  <si>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</si>
  <si>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</si>
  <si>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</si>
  <si>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</si>
  <si>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</si>
  <si>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</si>
  <si>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</si>
  <si>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</si>
  <si>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</si>
  <si>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</si>
  <si>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</si>
  <si>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</si>
  <si>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</si>
  <si>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</si>
  <si>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</si>
  <si>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</si>
  <si>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</si>
  <si>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</si>
  <si>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</si>
  <si>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</si>
  <si>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</si>
  <si>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</si>
  <si>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</si>
  <si>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</si>
  <si>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</si>
  <si>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</si>
  <si>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</si>
  <si>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</si>
  <si>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</si>
  <si>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</si>
  <si>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</si>
  <si>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</si>
  <si>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</si>
  <si>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</si>
  <si>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</si>
  <si>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</si>
  <si>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</si>
  <si>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</si>
  <si>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</si>
  <si>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</si>
  <si>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</si>
  <si>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</si>
  <si>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</si>
  <si>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</si>
  <si>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</si>
  <si>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</si>
  <si>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</si>
  <si>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</si>
  <si>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</si>
  <si>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</si>
  <si>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</si>
  <si>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</si>
  <si>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</si>
  <si>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</si>
  <si>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</si>
  <si>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</si>
  <si>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</si>
  <si>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</si>
  <si>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</si>
  <si>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</si>
  <si>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</si>
  <si>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</si>
  <si>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</si>
  <si>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</si>
  <si>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</si>
  <si>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</si>
  <si>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</si>
  <si>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</si>
  <si>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</si>
  <si>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</si>
  <si>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</si>
  <si>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</si>
  <si>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</si>
  <si>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</si>
  <si>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</si>
  <si>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</si>
  <si>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</si>
  <si>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</si>
  <si>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</si>
  <si>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</si>
  <si>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</si>
  <si>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</si>
  <si>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</si>
  <si>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</si>
  <si>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</si>
  <si>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</si>
  <si>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</si>
  <si>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</si>
  <si>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</si>
  <si>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</si>
  <si>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</si>
  <si>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</si>
  <si>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</si>
  <si>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</si>
  <si>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</si>
  <si>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</si>
  <si>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</si>
  <si>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</si>
  <si>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</si>
  <si>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</si>
  <si>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</si>
  <si>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</si>
  <si>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</si>
  <si>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</si>
  <si>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</si>
  <si>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</si>
  <si>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</si>
  <si>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</si>
  <si>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</si>
  <si>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</si>
  <si>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</si>
  <si>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</si>
  <si>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</si>
  <si>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</si>
  <si>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</si>
  <si>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</si>
  <si>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</si>
  <si>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</si>
  <si>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</si>
  <si>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</si>
  <si>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</si>
  <si>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</si>
  <si>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</si>
  <si>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</si>
  <si>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</si>
  <si>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</si>
  <si>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</si>
  <si>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</si>
  <si>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DRVNA INDUSTRIJA "SPAČVA" D.D. VINKOVCI</t>
  </si>
  <si>
    <t>03300099</t>
  </si>
  <si>
    <t>30014502</t>
  </si>
  <si>
    <t>02046778584</t>
  </si>
  <si>
    <t xml:space="preserve">DRVNA INDUSTRIJA SPAČVA D.D. </t>
  </si>
  <si>
    <t>Vinkovci</t>
  </si>
  <si>
    <t>Duga ulica 181</t>
  </si>
  <si>
    <t>spacva@spacva.hr</t>
  </si>
  <si>
    <t>www.spacva.hr</t>
  </si>
  <si>
    <t>1623</t>
  </si>
  <si>
    <t>NE</t>
  </si>
  <si>
    <t>Vukovarsko-srijemska</t>
  </si>
  <si>
    <t>Dario Puljiz</t>
  </si>
  <si>
    <t>Obveznik: __DRVNA INDUSTRIJA SPAČVA D.D. ___________________________________________________________</t>
  </si>
  <si>
    <t>Obveznik: ____DRVNA INDUSTRIJA SPAČVA D.D. ______________________________________________________</t>
  </si>
  <si>
    <t>01.01.13.</t>
  </si>
  <si>
    <t>Mirela Šumanovac</t>
  </si>
  <si>
    <t>032 616 730</t>
  </si>
  <si>
    <t>mirela.sumanovac@spacva.hr</t>
  </si>
  <si>
    <t>u razdoblju 01.01.2013. do 31.12.13.</t>
  </si>
  <si>
    <t>31.12.13.</t>
  </si>
  <si>
    <t>stanje na dan 31.12.13.</t>
  </si>
  <si>
    <t>032 303 429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</si>
</sst>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0" fillId="16" borderId="0" xfId="56" applyFont="1" applyFill="1" applyBorder="1" applyAlignment="1">
      <alignment horizontal="center" vertical="center" wrapText="1"/>
      <protection/>
    </xf>
    <xf numFmtId="0" fontId="0" fillId="16" borderId="0" xfId="0" applyFont="1" applyFill="1" applyBorder="1" applyAlignment="1">
      <alignment horizontal="center" vertical="center" wrapText="1"/>
    </xf>
    <xf numFmtId="14" fontId="7" fillId="16" borderId="0" xfId="56" applyNumberFormat="1" applyFont="1" applyFill="1" applyBorder="1" applyAlignment="1" applyProtection="1">
      <alignment horizontal="center" vertical="center"/>
      <protection hidden="1" locked="0"/>
    </xf>
    <xf numFmtId="0" fontId="7" fillId="16" borderId="0" xfId="56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33" borderId="22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16" borderId="0" xfId="56" applyFont="1" applyFill="1" applyBorder="1" applyAlignment="1" applyProtection="1">
      <alignment horizontal="center" vertical="center"/>
      <protection hidden="1"/>
    </xf>
    <xf numFmtId="14" fontId="7" fillId="16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16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view="pageBreakPreview" zoomScale="110" zoomScaleSheetLayoutView="110" zoomScalePageLayoutView="0" workbookViewId="0" topLeftCell="A31">
      <selection activeCell="F44" sqref="F44:I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7" t="s">
        <v>248</v>
      </c>
      <c r="B1" s="178"/>
      <c r="C1" s="178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16">
        <v>41275</v>
      </c>
      <c r="F2" s="12"/>
      <c r="G2" s="13" t="s">
        <v>250</v>
      </c>
      <c r="H2" s="116">
        <v>41639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0" t="s">
        <v>251</v>
      </c>
      <c r="B6" s="141"/>
      <c r="C6" s="132" t="s">
        <v>324</v>
      </c>
      <c r="D6" s="133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42" t="s">
        <v>252</v>
      </c>
      <c r="B8" s="143"/>
      <c r="C8" s="132" t="s">
        <v>325</v>
      </c>
      <c r="D8" s="133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8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9" t="s">
        <v>253</v>
      </c>
      <c r="B10" s="130"/>
      <c r="C10" s="132" t="s">
        <v>326</v>
      </c>
      <c r="D10" s="133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0" t="s">
        <v>254</v>
      </c>
      <c r="B12" s="141"/>
      <c r="C12" s="144" t="s">
        <v>327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0" t="s">
        <v>255</v>
      </c>
      <c r="B14" s="141"/>
      <c r="C14" s="147">
        <v>32100</v>
      </c>
      <c r="D14" s="148"/>
      <c r="E14" s="16"/>
      <c r="F14" s="144" t="s">
        <v>328</v>
      </c>
      <c r="G14" s="145"/>
      <c r="H14" s="145"/>
      <c r="I14" s="146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0" t="s">
        <v>256</v>
      </c>
      <c r="B16" s="141"/>
      <c r="C16" s="144" t="s">
        <v>329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0" t="s">
        <v>257</v>
      </c>
      <c r="B18" s="141"/>
      <c r="C18" s="149" t="s">
        <v>330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0" t="s">
        <v>258</v>
      </c>
      <c r="B20" s="141"/>
      <c r="C20" s="149" t="s">
        <v>331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0" t="s">
        <v>259</v>
      </c>
      <c r="B22" s="141"/>
      <c r="C22" s="117">
        <v>487</v>
      </c>
      <c r="D22" s="144" t="s">
        <v>328</v>
      </c>
      <c r="E22" s="152"/>
      <c r="F22" s="153"/>
      <c r="G22" s="140"/>
      <c r="H22" s="154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0" t="s">
        <v>260</v>
      </c>
      <c r="B24" s="141"/>
      <c r="C24" s="117">
        <v>16</v>
      </c>
      <c r="D24" s="144" t="s">
        <v>334</v>
      </c>
      <c r="E24" s="152"/>
      <c r="F24" s="152"/>
      <c r="G24" s="153"/>
      <c r="H24" s="49" t="s">
        <v>261</v>
      </c>
      <c r="I24" s="118">
        <v>618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40" t="s">
        <v>262</v>
      </c>
      <c r="B26" s="141"/>
      <c r="C26" s="119" t="s">
        <v>333</v>
      </c>
      <c r="D26" s="25"/>
      <c r="E26" s="33"/>
      <c r="F26" s="24"/>
      <c r="G26" s="155" t="s">
        <v>263</v>
      </c>
      <c r="H26" s="141"/>
      <c r="I26" s="120" t="s">
        <v>332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0"/>
      <c r="B31" s="22"/>
      <c r="C31" s="21"/>
      <c r="D31" s="166"/>
      <c r="E31" s="166"/>
      <c r="F31" s="166"/>
      <c r="G31" s="167"/>
      <c r="H31" s="16"/>
      <c r="I31" s="97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99"/>
      <c r="B37" s="30"/>
      <c r="C37" s="168"/>
      <c r="D37" s="169"/>
      <c r="E37" s="16"/>
      <c r="F37" s="168"/>
      <c r="G37" s="169"/>
      <c r="H37" s="16"/>
      <c r="I37" s="91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9" t="s">
        <v>267</v>
      </c>
      <c r="B44" s="173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99"/>
      <c r="B45" s="30"/>
      <c r="C45" s="168"/>
      <c r="D45" s="169"/>
      <c r="E45" s="16"/>
      <c r="F45" s="168"/>
      <c r="G45" s="170"/>
      <c r="H45" s="35"/>
      <c r="I45" s="103"/>
      <c r="J45" s="10"/>
      <c r="K45" s="10"/>
      <c r="L45" s="10"/>
    </row>
    <row r="46" spans="1:12" ht="12.75">
      <c r="A46" s="129" t="s">
        <v>268</v>
      </c>
      <c r="B46" s="173"/>
      <c r="C46" s="144" t="s">
        <v>339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9" t="s">
        <v>270</v>
      </c>
      <c r="B48" s="173"/>
      <c r="C48" s="174" t="s">
        <v>340</v>
      </c>
      <c r="D48" s="175"/>
      <c r="E48" s="176"/>
      <c r="F48" s="16"/>
      <c r="G48" s="49" t="s">
        <v>271</v>
      </c>
      <c r="H48" s="174" t="s">
        <v>345</v>
      </c>
      <c r="I48" s="176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9" t="s">
        <v>257</v>
      </c>
      <c r="B50" s="173"/>
      <c r="C50" s="185" t="s">
        <v>341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0" t="s">
        <v>272</v>
      </c>
      <c r="B52" s="141"/>
      <c r="C52" s="174" t="s">
        <v>335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4"/>
      <c r="B53" s="20"/>
      <c r="C53" s="179" t="s">
        <v>273</v>
      </c>
      <c r="D53" s="179"/>
      <c r="E53" s="179"/>
      <c r="F53" s="179"/>
      <c r="G53" s="179"/>
      <c r="H53" s="179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6" t="s">
        <v>274</v>
      </c>
      <c r="C55" s="187"/>
      <c r="D55" s="187"/>
      <c r="E55" s="187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4"/>
      <c r="B57" s="188" t="s">
        <v>307</v>
      </c>
      <c r="C57" s="189"/>
      <c r="D57" s="189"/>
      <c r="E57" s="189"/>
      <c r="F57" s="189"/>
      <c r="G57" s="189"/>
      <c r="H57" s="189"/>
      <c r="I57" s="106"/>
      <c r="J57" s="10"/>
      <c r="K57" s="10"/>
      <c r="L57" s="10"/>
    </row>
    <row r="58" spans="1:12" ht="12.75">
      <c r="A58" s="104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4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83"/>
      <c r="H63" s="184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1"/>
  <sheetViews>
    <sheetView view="pageBreakPreview" zoomScale="110" zoomScaleSheetLayoutView="110" zoomScalePageLayoutView="0" workbookViewId="0" topLeftCell="A110">
      <selection activeCell="K127" sqref="K127"/>
    </sheetView>
  </sheetViews>
  <sheetFormatPr defaultColWidth="9.140625" defaultRowHeight="12.75"/>
  <cols>
    <col min="1" max="11" width="9.140625" style="50" customWidth="1"/>
    <col min="12" max="12" width="10.7109375" style="50" bestFit="1" customWidth="1"/>
    <col min="13" max="16384" width="9.140625" style="50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336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6" t="s">
        <v>278</v>
      </c>
      <c r="J4" s="57" t="s">
        <v>319</v>
      </c>
      <c r="K4" s="58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5">
        <v>2</v>
      </c>
      <c r="J5" s="54">
        <v>3</v>
      </c>
      <c r="K5" s="54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>
        <v>22528264</v>
      </c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1">
        <f>J9+J16+J26+J35+J39</f>
        <v>294753574</v>
      </c>
      <c r="K8" s="51">
        <f>K9+K16+K26+K35+K39</f>
        <v>185804014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1">
        <f>SUM(J10:J15)</f>
        <v>29365</v>
      </c>
      <c r="K9" s="51">
        <f>SUM(K10:K15)</f>
        <v>10000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19365</v>
      </c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/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10000</v>
      </c>
      <c r="K15" s="7">
        <v>10000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1">
        <f>SUM(J17:J25)</f>
        <v>291852489</v>
      </c>
      <c r="K16" s="51">
        <f>SUM(K17:K25)</f>
        <v>172979399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101193041</v>
      </c>
      <c r="K17" s="7">
        <v>31485329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123123210</v>
      </c>
      <c r="K18" s="7">
        <v>87978648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58908191</v>
      </c>
      <c r="K19" s="7">
        <v>51258911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1410932</v>
      </c>
      <c r="K20" s="7">
        <v>1587886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7204304</v>
      </c>
      <c r="K23" s="7">
        <v>655814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12811</v>
      </c>
      <c r="K24" s="7">
        <v>12811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1">
        <f>SUM(J27:J34)</f>
        <v>285705</v>
      </c>
      <c r="K26" s="51">
        <f>SUM(K27:K34)</f>
        <v>285705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20000</v>
      </c>
      <c r="K27" s="7">
        <v>20000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265500</v>
      </c>
      <c r="K31" s="7">
        <v>265500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205</v>
      </c>
      <c r="K33" s="7">
        <v>205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1">
        <f>SUM(J36:J38)</f>
        <v>2586015</v>
      </c>
      <c r="K35" s="51">
        <f>SUM(K36:K38)</f>
        <v>12528910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2500000</v>
      </c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86015</v>
      </c>
      <c r="K37" s="7">
        <v>72370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>
        <v>12456540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1">
        <f>J41+J49+J56+J64</f>
        <v>111680068</v>
      </c>
      <c r="K40" s="51">
        <f>K41+K49+K56+K64</f>
        <v>98298413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1">
        <f>SUM(J42:J48)</f>
        <v>59237316</v>
      </c>
      <c r="K41" s="51">
        <f>SUM(K42:K48)</f>
        <v>74161845</v>
      </c>
    </row>
    <row r="42" spans="1:12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4864858</v>
      </c>
      <c r="K42" s="7">
        <v>7842595</v>
      </c>
      <c r="L42" s="128"/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11892285</v>
      </c>
      <c r="K43" s="7">
        <v>15074990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17323145</v>
      </c>
      <c r="K44" s="7">
        <v>23773247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4150463</v>
      </c>
      <c r="K45" s="7">
        <v>4214987</v>
      </c>
    </row>
    <row r="46" spans="1:12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973735</v>
      </c>
      <c r="K46" s="7">
        <v>2014299</v>
      </c>
      <c r="L46" s="128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20032830</v>
      </c>
      <c r="K47" s="7">
        <v>21241727</v>
      </c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1">
        <f>SUM(J50:J55)</f>
        <v>38297049</v>
      </c>
      <c r="K49" s="51">
        <f>SUM(K50:K55)</f>
        <v>20173418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18887037</v>
      </c>
      <c r="K50" s="7"/>
    </row>
    <row r="51" spans="1:12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17533409</v>
      </c>
      <c r="K51" s="7">
        <v>19437065</v>
      </c>
      <c r="L51" s="128"/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2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516288</v>
      </c>
      <c r="K53" s="7">
        <v>183332</v>
      </c>
      <c r="L53" s="128"/>
    </row>
    <row r="54" spans="1:12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1245495</v>
      </c>
      <c r="K54" s="7">
        <v>431697</v>
      </c>
      <c r="L54" s="128"/>
    </row>
    <row r="55" spans="1:12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114820</v>
      </c>
      <c r="K55" s="7">
        <v>121324</v>
      </c>
      <c r="L55" s="128"/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1">
        <f>SUM(J57:J63)</f>
        <v>13219359</v>
      </c>
      <c r="K56" s="51">
        <f>SUM(K57:K63)</f>
        <v>243978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10286910</v>
      </c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2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2652962</v>
      </c>
      <c r="K61" s="7"/>
      <c r="L61" s="128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275280</v>
      </c>
      <c r="K62" s="7">
        <v>239771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4207</v>
      </c>
      <c r="K63" s="7">
        <v>4207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926344</v>
      </c>
      <c r="K64" s="7">
        <v>3719172</v>
      </c>
    </row>
    <row r="65" spans="1:12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434452</v>
      </c>
      <c r="K65" s="7"/>
      <c r="L65" s="128"/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1">
        <f>J7+J8+J40+J65</f>
        <v>406868094</v>
      </c>
      <c r="K66" s="51">
        <f>K7+K8+K40+K65</f>
        <v>306630691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2">
        <f>J70+J71+J72+J78+J79+J82+J85</f>
        <v>91635712</v>
      </c>
      <c r="K69" s="52">
        <f>K70+K72+K78+K79+K82+K85</f>
        <v>146440314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82956600</v>
      </c>
      <c r="K70" s="7">
        <v>75530440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1">
        <f>J73+J74-J75+J76+J77</f>
        <v>-207860</v>
      </c>
      <c r="K72" s="51">
        <f>K73+K74-K75+K76+K77</f>
        <v>-207860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207860</v>
      </c>
      <c r="K75" s="7">
        <v>207860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115815792</v>
      </c>
      <c r="K78" s="7">
        <v>53401915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1">
        <f>J80-J81</f>
        <v>-31750185</v>
      </c>
      <c r="K79" s="51">
        <f>K80-K81</f>
        <v>32911217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>
        <v>62413877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31750185</v>
      </c>
      <c r="K81" s="7">
        <v>29502660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1">
        <f>J83-J84</f>
        <v>-75178635</v>
      </c>
      <c r="K82" s="51">
        <f>K83-K84</f>
        <v>-15195398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75178635</v>
      </c>
      <c r="K84" s="7">
        <v>15195398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1">
        <f>SUM(J87:J89)</f>
        <v>0</v>
      </c>
      <c r="K86" s="51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1">
        <f>J91+J92+J93+J94+J95+J96+J97+J98+J99</f>
        <v>187254447</v>
      </c>
      <c r="K90" s="51">
        <f>K91+K92+K93+K94+K95+K96+K97+K98+K99</f>
        <v>97163477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2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118639549</v>
      </c>
      <c r="K93" s="7">
        <v>71489110</v>
      </c>
      <c r="L93" s="128"/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2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39660951</v>
      </c>
      <c r="K95" s="7">
        <v>12323888</v>
      </c>
      <c r="L95" s="128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28953947</v>
      </c>
      <c r="K99" s="7">
        <v>13350479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1">
        <f>J101+J102+J103+J105+J106+J107+J108+J109+J110+J111+J112+J104</f>
        <v>127516318</v>
      </c>
      <c r="K100" s="51">
        <f>K101+K102+K103+K105+K106+K107+K108+K109+K110+K111+K112+K104</f>
        <v>63026900</v>
      </c>
    </row>
    <row r="101" spans="1:12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551754</v>
      </c>
      <c r="K101" s="7"/>
      <c r="L101" s="128"/>
    </row>
    <row r="102" spans="1:12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35324</v>
      </c>
      <c r="K102" s="7"/>
      <c r="L102" s="128"/>
    </row>
    <row r="103" spans="1:12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45607663</v>
      </c>
      <c r="K103" s="7">
        <v>24394892</v>
      </c>
      <c r="L103" s="128"/>
    </row>
    <row r="104" spans="1:12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830912</v>
      </c>
      <c r="K104" s="7">
        <v>52323</v>
      </c>
      <c r="L104" s="128"/>
    </row>
    <row r="105" spans="1:12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36026584</v>
      </c>
      <c r="K105" s="7">
        <v>14776300</v>
      </c>
      <c r="L105" s="128"/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2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6216976</v>
      </c>
      <c r="K108" s="7">
        <v>4241695</v>
      </c>
      <c r="L108" s="128"/>
    </row>
    <row r="109" spans="1:12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33284273</v>
      </c>
      <c r="K109" s="7">
        <v>19337347</v>
      </c>
      <c r="L109" s="128"/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2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4962832</v>
      </c>
      <c r="K112" s="7">
        <v>224343</v>
      </c>
      <c r="L112" s="128"/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461617</v>
      </c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1">
        <f>J69+J86+J90+J100+J113</f>
        <v>406868094</v>
      </c>
      <c r="K114" s="51">
        <f>K69+K86+K90+K100+K113</f>
        <v>306630691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1"/>
  <sheetViews>
    <sheetView view="pageBreakPreview" zoomScale="110" zoomScaleSheetLayoutView="110" zoomScalePageLayoutView="0" workbookViewId="0" topLeftCell="A1">
      <selection activeCell="K63" sqref="K63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337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.75">
      <c r="A4" s="251" t="s">
        <v>59</v>
      </c>
      <c r="B4" s="251"/>
      <c r="C4" s="251"/>
      <c r="D4" s="251"/>
      <c r="E4" s="251"/>
      <c r="F4" s="251"/>
      <c r="G4" s="251"/>
      <c r="H4" s="251"/>
      <c r="I4" s="56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2">
        <f>SUM(J8:J9)</f>
        <v>160310824</v>
      </c>
      <c r="K7" s="52">
        <f>SUM(K8:K9)</f>
        <v>47851631</v>
      </c>
      <c r="L7" s="52">
        <f>SUM(L8:L9)</f>
        <v>171363389</v>
      </c>
      <c r="M7" s="52">
        <f>SUM(M8:M9)</f>
        <v>47279287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153901306</v>
      </c>
      <c r="K8" s="7">
        <v>44861078</v>
      </c>
      <c r="L8" s="7">
        <v>124964578</v>
      </c>
      <c r="M8" s="7">
        <v>34857114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6409518</v>
      </c>
      <c r="K9" s="7">
        <v>2990553</v>
      </c>
      <c r="L9" s="7">
        <v>46398811</v>
      </c>
      <c r="M9" s="7">
        <v>12422173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1">
        <f>J11+J12+J16+J20+J21+J22+J25+J26</f>
        <v>206707584</v>
      </c>
      <c r="K10" s="51">
        <f>K11+K12+K16+K20+K21+K22+K25+K26</f>
        <v>49431341</v>
      </c>
      <c r="L10" s="51">
        <f>L11+L12+L16+L20+L21+L22+L25+L26</f>
        <v>184003988</v>
      </c>
      <c r="M10" s="51">
        <f>M11+M12+M16+M20+M21+M22+M25+M26</f>
        <v>96085223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6358978</v>
      </c>
      <c r="K11" s="7">
        <v>3875942</v>
      </c>
      <c r="L11" s="7">
        <v>-9153495</v>
      </c>
      <c r="M11" s="7">
        <v>-3459133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1">
        <f>SUM(J13:J15)</f>
        <v>99263879</v>
      </c>
      <c r="K12" s="51">
        <f>SUM(K13:K15)</f>
        <v>29803719</v>
      </c>
      <c r="L12" s="51">
        <f>SUM(L13:L15)</f>
        <v>80441748</v>
      </c>
      <c r="M12" s="51">
        <f>SUM(M13:M15)</f>
        <v>24217114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62218188</v>
      </c>
      <c r="K13" s="7">
        <v>16992746</v>
      </c>
      <c r="L13" s="7">
        <v>59142735</v>
      </c>
      <c r="M13" s="7">
        <v>15283015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24576995</v>
      </c>
      <c r="K14" s="7">
        <v>9810288</v>
      </c>
      <c r="L14" s="7">
        <v>12626473</v>
      </c>
      <c r="M14" s="7">
        <v>6473384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12468696</v>
      </c>
      <c r="K15" s="7">
        <v>3000685</v>
      </c>
      <c r="L15" s="7">
        <v>8672540</v>
      </c>
      <c r="M15" s="7">
        <v>2460715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1">
        <f>SUM(J17:J19)</f>
        <v>35413341</v>
      </c>
      <c r="K16" s="51">
        <f>SUM(K17:K19)</f>
        <v>8554568</v>
      </c>
      <c r="L16" s="51">
        <f>SUM(L17:L19)</f>
        <v>33755840</v>
      </c>
      <c r="M16" s="51">
        <f>SUM(M17:M19)</f>
        <v>8429056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23257926</v>
      </c>
      <c r="K17" s="7">
        <v>5743178</v>
      </c>
      <c r="L17" s="7">
        <v>22594469</v>
      </c>
      <c r="M17" s="7">
        <v>5620265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7302974</v>
      </c>
      <c r="K18" s="7">
        <v>1681854</v>
      </c>
      <c r="L18" s="7">
        <v>6704007</v>
      </c>
      <c r="M18" s="7">
        <v>1691830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4852441</v>
      </c>
      <c r="K19" s="7">
        <v>1129536</v>
      </c>
      <c r="L19" s="7">
        <v>4457364</v>
      </c>
      <c r="M19" s="7">
        <v>1116961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8658131</v>
      </c>
      <c r="K20" s="7">
        <v>2268682</v>
      </c>
      <c r="L20" s="7">
        <v>8658131</v>
      </c>
      <c r="M20" s="7">
        <v>2164533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11032740</v>
      </c>
      <c r="K21" s="7">
        <v>4928430</v>
      </c>
      <c r="L21" s="7">
        <v>56721574</v>
      </c>
      <c r="M21" s="7">
        <v>51153463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1">
        <f>SUM(J23:J24)</f>
        <v>45980515</v>
      </c>
      <c r="K22" s="51">
        <f>SUM(K23:K24)</f>
        <v>0</v>
      </c>
      <c r="L22" s="51">
        <f>SUM(L23:L24)</f>
        <v>13580190</v>
      </c>
      <c r="M22" s="51">
        <f>SUM(M23:M24)</f>
        <v>13580190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45980515</v>
      </c>
      <c r="K24" s="7"/>
      <c r="L24" s="7">
        <v>13580190</v>
      </c>
      <c r="M24" s="7">
        <v>13580190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/>
      <c r="L26" s="7"/>
      <c r="M26" s="7"/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1">
        <f>SUM(J28:J32)</f>
        <v>2588586</v>
      </c>
      <c r="K27" s="51">
        <f>SUM(K28:K32)</f>
        <v>966043</v>
      </c>
      <c r="L27" s="51">
        <f>SUM(L28:L32)</f>
        <v>522518</v>
      </c>
      <c r="M27" s="51">
        <f>SUM(M28:M32)</f>
        <v>97028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2588586</v>
      </c>
      <c r="K29" s="7">
        <v>966043</v>
      </c>
      <c r="L29" s="7">
        <v>522518</v>
      </c>
      <c r="M29" s="7">
        <v>97028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1">
        <f>SUM(J34:J37)</f>
        <v>31370461</v>
      </c>
      <c r="K33" s="51">
        <f>SUM(K34:K37)</f>
        <v>6364824</v>
      </c>
      <c r="L33" s="51">
        <f>SUM(L34:L37)</f>
        <v>3077317</v>
      </c>
      <c r="M33" s="51">
        <f>SUM(M34:M37)</f>
        <v>666666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23115518</v>
      </c>
      <c r="K35" s="7">
        <v>-1890119</v>
      </c>
      <c r="L35" s="7">
        <v>3077317</v>
      </c>
      <c r="M35" s="7">
        <v>666666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8254943</v>
      </c>
      <c r="K36" s="7">
        <v>8254943</v>
      </c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1">
        <f>J7+J27+J38+J40</f>
        <v>162899410</v>
      </c>
      <c r="K42" s="51">
        <f>K7+K27+K38+K40</f>
        <v>48817674</v>
      </c>
      <c r="L42" s="51">
        <f>L7+L27+L38+L40</f>
        <v>171885907</v>
      </c>
      <c r="M42" s="51">
        <f>M7+M27+M38+M40</f>
        <v>47376315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1">
        <f>J10+J33+J39+J41</f>
        <v>238078045</v>
      </c>
      <c r="K43" s="51">
        <f>K10+K33+K39+K41</f>
        <v>55796165</v>
      </c>
      <c r="L43" s="51">
        <f>L10+L33+L39+L41</f>
        <v>187081305</v>
      </c>
      <c r="M43" s="51">
        <f>M10+M33+M39+M41</f>
        <v>96751889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1">
        <f>J42-J43</f>
        <v>-75178635</v>
      </c>
      <c r="K44" s="51">
        <f>K42-K43</f>
        <v>-6978491</v>
      </c>
      <c r="L44" s="51">
        <f>L42-L43</f>
        <v>-15195398</v>
      </c>
      <c r="M44" s="51">
        <f>M42-M43</f>
        <v>-49375574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0</v>
      </c>
      <c r="M45" s="51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1">
        <f>IF(J43&gt;J42,J43-J42,0)</f>
        <v>75178635</v>
      </c>
      <c r="K46" s="51">
        <f>IF(K43&gt;K42,K43-K42,0)</f>
        <v>6978491</v>
      </c>
      <c r="L46" s="51">
        <f>IF(L43&gt;L42,L43-L42,0)</f>
        <v>15195398</v>
      </c>
      <c r="M46" s="51">
        <f>IF(M43&gt;M42,M43-M42,0)</f>
        <v>49375574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1">
        <f>J44-J47</f>
        <v>-75178635</v>
      </c>
      <c r="K48" s="51">
        <f>K44-K47</f>
        <v>-6978491</v>
      </c>
      <c r="L48" s="51">
        <f>L44-L47</f>
        <v>-15195398</v>
      </c>
      <c r="M48" s="51">
        <f>M44-M47</f>
        <v>-49375574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0</v>
      </c>
      <c r="M49" s="51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9">
        <f>IF(J48&lt;0,-J48,0)</f>
        <v>75178635</v>
      </c>
      <c r="K50" s="59">
        <f>IF(K48&lt;0,-K48,0)</f>
        <v>6978491</v>
      </c>
      <c r="L50" s="59">
        <f>IF(L48&lt;0,-L48,0)</f>
        <v>15195398</v>
      </c>
      <c r="M50" s="59">
        <f>IF(M48&lt;0,-M48,0)</f>
        <v>49375574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3"/>
      <c r="J52" s="53"/>
      <c r="K52" s="53"/>
      <c r="L52" s="53"/>
      <c r="M52" s="60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f>J48</f>
        <v>-75178635</v>
      </c>
      <c r="K56" s="6">
        <f>K48</f>
        <v>-6978491</v>
      </c>
      <c r="L56" s="6">
        <f>L48</f>
        <v>-15195398</v>
      </c>
      <c r="M56" s="6">
        <f>M48</f>
        <v>-49375574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9">
        <f>J56+J66</f>
        <v>-75178635</v>
      </c>
      <c r="K67" s="59">
        <f>K56+K66</f>
        <v>-6978491</v>
      </c>
      <c r="L67" s="59">
        <f>L56+L66</f>
        <v>-15195398</v>
      </c>
      <c r="M67" s="59">
        <f>M56+M66</f>
        <v>-49375574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2"/>
  <sheetViews>
    <sheetView tabSelected="1" view="pageBreakPreview" zoomScale="110" zoomScaleSheetLayoutView="110" zoomScalePageLayoutView="0" workbookViewId="0" topLeftCell="A1">
      <selection activeCell="K46" sqref="K46"/>
    </sheetView>
  </sheetViews>
  <sheetFormatPr defaultColWidth="9.140625" defaultRowHeight="12.75"/>
  <cols>
    <col min="1" max="11" width="9.140625" style="50" customWidth="1"/>
    <col min="12" max="12" width="10.140625" style="50" bestFit="1" customWidth="1"/>
    <col min="13" max="16384" width="9.140625" style="50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323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4" t="s">
        <v>279</v>
      </c>
      <c r="J4" s="65" t="s">
        <v>319</v>
      </c>
      <c r="K4" s="65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6">
        <v>2</v>
      </c>
      <c r="J5" s="67" t="s">
        <v>283</v>
      </c>
      <c r="K5" s="67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-75178635</v>
      </c>
      <c r="K7" s="7">
        <v>-15195398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8658131</v>
      </c>
      <c r="K8" s="7">
        <v>8658131</v>
      </c>
    </row>
    <row r="9" spans="1:12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26264056</v>
      </c>
      <c r="K9" s="7"/>
      <c r="L9" s="128"/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7">
        <v>52235689</v>
      </c>
      <c r="K10" s="7">
        <v>18296135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7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7">
        <v>6785</v>
      </c>
      <c r="K12" s="7">
        <v>3087414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2">
        <f>J7+J8+J9+J10+J11+J12</f>
        <v>11986026</v>
      </c>
      <c r="K13" s="62">
        <f>K7+K8+K9+K10+K11+K12</f>
        <v>14846282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7"/>
      <c r="K14" s="7">
        <v>43241323</v>
      </c>
    </row>
    <row r="15" spans="1:12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7"/>
      <c r="K15" s="7"/>
      <c r="L15" s="128"/>
    </row>
    <row r="16" spans="1:12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>
        <v>1702182</v>
      </c>
      <c r="K16" s="7">
        <v>13923965</v>
      </c>
      <c r="L16" s="128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434452</v>
      </c>
      <c r="K17" s="7">
        <v>17237663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2">
        <f>SUM(J14:J17)</f>
        <v>2136634</v>
      </c>
      <c r="K18" s="62">
        <f>SUM(K14:K17)</f>
        <v>74402951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2">
        <f>IF(J13&gt;J18,J13-J18,0)</f>
        <v>9849392</v>
      </c>
      <c r="K19" s="51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2">
        <f>IF(J18&gt;J13,J18-J13,0)</f>
        <v>0</v>
      </c>
      <c r="K20" s="62">
        <f>IF(K18&gt;K13,K18-K13,0)</f>
        <v>59556669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>
        <v>86026524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7665147</v>
      </c>
      <c r="K26" s="7">
        <v>27431476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2">
        <f>SUM(J22:J26)</f>
        <v>7665147</v>
      </c>
      <c r="K27" s="51">
        <f>SUM(K22:K26)</f>
        <v>113458000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354352</v>
      </c>
      <c r="K28" s="7">
        <v>1548417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2">
        <v>354562</v>
      </c>
      <c r="K31" s="62">
        <f>SUM(K28:K30)</f>
        <v>1548417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2">
        <f>IF(J27&gt;J31,J27-J31,0)</f>
        <v>7310585</v>
      </c>
      <c r="K32" s="51">
        <f>IF(K27&gt;K31,K27-K31,0)</f>
        <v>111909583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2">
        <f>IF(J31&gt;J27,J31-J27,0)</f>
        <v>0</v>
      </c>
      <c r="K33" s="51">
        <f>IF(K31&gt;K27,K31-K27,0)</f>
        <v>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7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7">
        <v>53037990</v>
      </c>
      <c r="K36" s="7">
        <v>2399152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7"/>
      <c r="K37" s="7">
        <v>22528264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51">
        <f>J35+J36+J37</f>
        <v>53037990</v>
      </c>
      <c r="K38" s="51">
        <f>K35+K36+K37</f>
        <v>24927416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7">
        <v>69516560</v>
      </c>
      <c r="K39" s="7">
        <v>74487502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7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7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7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7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2">
        <f>SUM(J39:J43)</f>
        <v>69516560</v>
      </c>
      <c r="K44" s="51">
        <f>SUM(K39:K43)</f>
        <v>74487502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2">
        <f>IF(J38&gt;J44,J38-J44,0)</f>
        <v>0</v>
      </c>
      <c r="K45" s="51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2">
        <f>IF(J44&gt;J38,J44-J38,0)</f>
        <v>16478570</v>
      </c>
      <c r="K46" s="51">
        <f>IF(K44&gt;K38,K44-K38,0)</f>
        <v>49560086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2">
        <f>IF(J19-J20+J32-J33+J45-J46&gt;0,J19-J20+J32-J33+J45-J46,0)</f>
        <v>681407</v>
      </c>
      <c r="K47" s="51">
        <f>IF(K19-K20+K32-K33+K45-K46&gt;0,K19-K20+K32-K33+K45-K46,0)</f>
        <v>2792828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7">
        <v>244937</v>
      </c>
      <c r="K49" s="7">
        <v>926344</v>
      </c>
    </row>
    <row r="50" spans="1:13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f>J47</f>
        <v>681407</v>
      </c>
      <c r="K50" s="5">
        <f>K47</f>
        <v>2792828</v>
      </c>
      <c r="M50" s="128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>
        <f>K48</f>
        <v>0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3">
        <f>J49+J50-J51</f>
        <v>926344</v>
      </c>
      <c r="K52" s="59">
        <f>K49+K50-K51</f>
        <v>3719172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4" t="s">
        <v>279</v>
      </c>
      <c r="J4" s="65" t="s">
        <v>319</v>
      </c>
      <c r="K4" s="65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0">
        <v>2</v>
      </c>
      <c r="J5" s="71" t="s">
        <v>283</v>
      </c>
      <c r="K5" s="71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view="pageBreakPreview" zoomScale="125" zoomScaleSheetLayoutView="125" zoomScalePageLayoutView="0" workbookViewId="0" topLeftCell="A10">
      <selection activeCell="K24" sqref="K24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0" width="9.140625" style="73" customWidth="1"/>
    <col min="11" max="11" width="9.421875" style="73" bestFit="1" customWidth="1"/>
    <col min="12" max="16384" width="9.140625" style="73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2"/>
    </row>
    <row r="2" spans="1:12" ht="15">
      <c r="A2" s="124"/>
      <c r="B2" s="125"/>
      <c r="C2" s="269" t="s">
        <v>282</v>
      </c>
      <c r="D2" s="269"/>
      <c r="E2" s="126" t="s">
        <v>338</v>
      </c>
      <c r="F2" s="127" t="s">
        <v>250</v>
      </c>
      <c r="G2" s="270" t="s">
        <v>343</v>
      </c>
      <c r="H2" s="271"/>
      <c r="I2" s="125"/>
      <c r="J2" s="125"/>
      <c r="K2" s="125"/>
      <c r="L2" s="74"/>
    </row>
    <row r="3" spans="1:11" ht="21.75">
      <c r="A3" s="272" t="s">
        <v>59</v>
      </c>
      <c r="B3" s="272"/>
      <c r="C3" s="272"/>
      <c r="D3" s="272"/>
      <c r="E3" s="272"/>
      <c r="F3" s="272"/>
      <c r="G3" s="272"/>
      <c r="H3" s="272"/>
      <c r="I3" s="77" t="s">
        <v>305</v>
      </c>
      <c r="J3" s="78" t="s">
        <v>150</v>
      </c>
      <c r="K3" s="78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0">
        <v>2</v>
      </c>
      <c r="J4" s="79" t="s">
        <v>283</v>
      </c>
      <c r="K4" s="79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2">
        <v>1</v>
      </c>
      <c r="J5" s="43">
        <v>82956600</v>
      </c>
      <c r="K5" s="43">
        <v>75530440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2">
        <v>2</v>
      </c>
      <c r="J6" s="44">
        <v>-207860</v>
      </c>
      <c r="K6" s="44">
        <v>-207860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2">
        <v>3</v>
      </c>
      <c r="J7" s="44"/>
      <c r="K7" s="44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2">
        <v>4</v>
      </c>
      <c r="J8" s="44">
        <v>-31750185</v>
      </c>
      <c r="K8" s="44">
        <v>32911217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2">
        <v>5</v>
      </c>
      <c r="J9" s="44">
        <v>-75178635</v>
      </c>
      <c r="K9" s="44">
        <v>-15195398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2">
        <v>6</v>
      </c>
      <c r="J10" s="44">
        <v>115815792</v>
      </c>
      <c r="K10" s="44">
        <v>53401915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2">
        <v>7</v>
      </c>
      <c r="J11" s="44"/>
      <c r="K11" s="44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2">
        <v>8</v>
      </c>
      <c r="J12" s="44"/>
      <c r="K12" s="44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2">
        <v>9</v>
      </c>
      <c r="J13" s="44"/>
      <c r="K13" s="44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2">
        <v>10</v>
      </c>
      <c r="J14" s="75">
        <f>SUM(J5:J13)</f>
        <v>91635712</v>
      </c>
      <c r="K14" s="75">
        <f>SUM(K5:K13)</f>
        <v>146440314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2">
        <v>11</v>
      </c>
      <c r="J15" s="44"/>
      <c r="K15" s="44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2">
        <v>12</v>
      </c>
      <c r="J16" s="44"/>
      <c r="K16" s="44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2">
        <v>13</v>
      </c>
      <c r="J17" s="44"/>
      <c r="K17" s="44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2">
        <v>14</v>
      </c>
      <c r="J18" s="44"/>
      <c r="K18" s="44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2">
        <v>15</v>
      </c>
      <c r="J19" s="44"/>
      <c r="K19" s="44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2">
        <v>16</v>
      </c>
      <c r="J20" s="44"/>
      <c r="K20" s="44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2">
        <v>17</v>
      </c>
      <c r="J21" s="76">
        <f>SUM(J15:J20)</f>
        <v>0</v>
      </c>
      <c r="K21" s="76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5">
        <v>18</v>
      </c>
      <c r="J23" s="43"/>
      <c r="K23" s="43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6">
        <v>19</v>
      </c>
      <c r="J24" s="76"/>
      <c r="K24" s="76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mirela</cp:lastModifiedBy>
  <cp:lastPrinted>2011-03-28T11:17:39Z</cp:lastPrinted>
  <dcterms:created xsi:type="dcterms:W3CDTF">2008-10-17T11:51:54Z</dcterms:created>
  <dcterms:modified xsi:type="dcterms:W3CDTF">2014-02-14T13:39:28Z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