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4"/>
  </bookViews>
  <sheets>
    <sheet name="DATA" sheetId="1" state="hidden" r:id="rId1"/>
    <sheet name="OPĆI PODACI" sheetId="2" r:id="rId2"/>
    <sheet name="IFP" sheetId="3" r:id="rId3"/>
    <sheet name="ISD" sheetId="4" r:id="rId4"/>
    <sheet name="INTi" sheetId="5" r:id="rId5"/>
    <sheet name="IPK" sheetId="6" r:id="rId6"/>
    <sheet name="IB" sheetId="7" r:id="rId7"/>
  </sheets>
  <externalReferences>
    <externalReference r:id="rId10"/>
  </externalReferences>
  <definedNames>
    <definedName name="_xlnm.Print_Area" localSheetId="6">'IB'!$A$1:$F$20</definedName>
    <definedName name="_xlnm.Print_Area" localSheetId="2">'IFP'!$A$1:$E$57</definedName>
    <definedName name="_xlnm.Print_Area" localSheetId="4">'INTi'!$A$1:$D$36</definedName>
    <definedName name="_xlnm.Print_Area" localSheetId="5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<sst xmlns="http://schemas.openxmlformats.org/spreadsheetml/2006/main" count="276" uniqueCount="241">
  <si>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</si>
  <si>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</si>
  <si>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</si>
  <si>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</si>
  <si>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</si>
  <si>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</si>
  <si>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</si>
  <si>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</si>
  <si>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</si>
  <si>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</si>
  <si>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</si>
  <si>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</si>
  <si>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</si>
  <si>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</si>
  <si>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</si>
  <si>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</si>
  <si>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</si>
  <si>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</si>
  <si>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</si>
  <si>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</si>
  <si>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</si>
  <si>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</si>
  <si>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</si>
  <si>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</si>
  <si>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</si>
  <si>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</si>
  <si>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</si>
  <si>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</si>
  <si>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</si>
  <si>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</si>
  <si>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</si>
  <si>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</si>
  <si>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</si>
  <si>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</si>
  <si>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</si>
  <si>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</si>
  <si>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</si>
  <si>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</si>
  <si>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</si>
  <si>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</si>
  <si>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</si>
  <si>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</si>
  <si>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</si>
  <si>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</si>
  <si>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</si>
  <si>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</si>
  <si>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</si>
  <si>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</si>
  <si>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</si>
  <si>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</si>
  <si>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</si>
  <si>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</si>
  <si>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</si>
  <si>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</si>
  <si>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</si>
  <si>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</si>
  <si>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</si>
  <si>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</si>
  <si>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</si>
  <si>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</si>
  <si>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</si>
  <si>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</si>
  <si>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</si>
  <si>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</si>
  <si>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</si>
  <si>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</si>
  <si>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</si>
  <si>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</si>
  <si>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</si>
  <si>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</si>
  <si>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</si>
  <si>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</si>
  <si>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</si>
  <si>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</si>
  <si>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</si>
  <si>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</si>
  <si>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</si>
  <si>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</si>
  <si>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</si>
  <si>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</si>
  <si>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</si>
  <si>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</si>
  <si>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</si>
  <si>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</si>
  <si>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</si>
  <si>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OIB:</t>
  </si>
  <si>
    <t xml:space="preserve">Naziv fonda:      </t>
  </si>
  <si>
    <t xml:space="preserve">Za razdoblje:        </t>
  </si>
  <si>
    <t>Bilješke uz financijske izvještaje sastavljaju se sukladno odredbama Međunarodnih standarda financijskog izvještavanja (dalje: MSFI) na način da trebaju:</t>
  </si>
  <si>
    <t>Datum izvješća:______________</t>
  </si>
  <si>
    <t>Ovlaštena osoba društva:</t>
  </si>
  <si>
    <t>Sastavio:          ______________</t>
  </si>
  <si>
    <t>Telefon:            ______________</t>
  </si>
  <si>
    <t>____________________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</si>
  <si>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</si>
  <si>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</si>
  <si>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</si>
  <si>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</si>
  <si>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</si>
  <si>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Na  izvještajni datum  tekućeg razdoblja 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</si>
  <si>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</si>
  <si>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</si>
  <si>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</si>
  <si>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</si>
  <si>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</si>
  <si>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</si>
  <si>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</si>
  <si>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</si>
  <si>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</si>
  <si>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</si>
  <si>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</si>
  <si>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</si>
  <si>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</si>
  <si>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</si>
  <si>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</si>
  <si>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</si>
  <si>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</si>
  <si>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</si>
  <si>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</si>
  <si>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</si>
  <si>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</si>
  <si>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</si>
  <si>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</si>
  <si>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</si>
  <si>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</si>
  <si>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</si>
  <si>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</si>
  <si>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</si>
  <si>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</si>
  <si>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</si>
  <si>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</si>
  <si>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</si>
  <si>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</si>
  <si>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</si>
  <si>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</si>
  <si>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</si>
  <si>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</si>
  <si>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</si>
  <si>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</si>
  <si>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</si>
  <si>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</si>
  <si>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</si>
  <si>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</si>
  <si>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</si>
  <si>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</si>
  <si>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</si>
  <si>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</si>
  <si>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</si>
  <si>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</si>
  <si>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</si>
  <si>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 xml:space="preserve">
a) pružiti informacije o osnovi za sastavljanje financijskih izvještaja i određenim računovodstvenim politikama primijenjenim u skladu s Međunarodnim računovodstvenim standardom 1 (MRS 1),
</t>
  </si>
  <si>
    <t xml:space="preserve">b) objaviti informacije prema MSFI-a koje nisu prezentirane u izvještaju o financijskom položaju, izvještaju o sveobuhvatnoj dobiti, izvještaju o novčanim tokovima i izvještaju o promjenama kapitala,  </t>
  </si>
  <si>
    <t xml:space="preserve">c) pružiti dodatne informacije koje nisu prezentirane u izvještaju o financijskom položaju, izvještaju o sveobuhvatnoj dobiti, izvještaju o novčanim tokovima i izvještaju o promjeni kapitala, ali su važne za razumijevanje bilo kojeg od njih.  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</si>
  <si>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</si>
  <si>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</si>
  <si>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</si>
  <si>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</si>
  <si>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</si>
  <si>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</si>
  <si>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</si>
  <si>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</si>
  <si>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</si>
  <si>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</si>
  <si>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</si>
  <si>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</si>
  <si>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</si>
  <si>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</si>
  <si>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</si>
  <si>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</si>
  <si>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</si>
  <si>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</si>
  <si>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</si>
  <si>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</si>
  <si>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</si>
  <si>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</si>
  <si>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</si>
  <si>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</si>
  <si>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</si>
  <si>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</si>
  <si>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</si>
  <si>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</si>
  <si>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</si>
  <si>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</si>
  <si>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</si>
  <si>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Godišnji financijski izvještaj  GFI-ZIF</t>
  </si>
  <si>
    <t>(krajem godine)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</si>
  <si>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</si>
  <si>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</si>
  <si>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</si>
  <si>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</si>
  <si>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</si>
  <si>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</si>
  <si>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</si>
  <si>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</si>
  <si>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</si>
  <si>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</si>
  <si>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</si>
  <si>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</si>
  <si>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</si>
  <si>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</si>
  <si>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</si>
  <si>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</si>
  <si>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</si>
  <si>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</si>
  <si>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</si>
  <si>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</si>
  <si>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</si>
  <si>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</si>
  <si>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</si>
  <si>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</si>
  <si>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</si>
  <si>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</si>
  <si>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Prilog 4.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</si>
  <si>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</si>
  <si>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</si>
  <si>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</si>
  <si>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</si>
  <si>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</si>
  <si>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</t>
  </si>
  <si>
    <t>01431510</t>
  </si>
  <si>
    <t>030064066</t>
  </si>
  <si>
    <t>06371858079</t>
  </si>
  <si>
    <t>Zagreb</t>
  </si>
  <si>
    <t>Vončinina 2</t>
  </si>
  <si>
    <t>GRAD ZAGREB</t>
  </si>
  <si>
    <t>ne</t>
  </si>
  <si>
    <t>6430</t>
  </si>
  <si>
    <t>KRIŠTOFIĆ VESNA</t>
  </si>
  <si>
    <t>091/562-0002</t>
  </si>
  <si>
    <t>OIB fonda: 06371858079</t>
  </si>
  <si>
    <t>OIB fonda:06371858079</t>
  </si>
  <si>
    <t>01.01.2011.</t>
  </si>
  <si>
    <t>31.12.2011.</t>
  </si>
  <si>
    <t>Naziv fonda:  SLAVONSKI ZATVORENI INVESTICIJSKI FOND  S JAVNOM PONUDOM d.d.</t>
  </si>
  <si>
    <t>Izvještajno razdoblje:  01.01.2011-31.12.2011.</t>
  </si>
  <si>
    <t>Naziv fonda:  SLAVONSKI ZATVORENI INVESTICIJSKI FOND S JAVNOM PONUDOM d.d.</t>
  </si>
  <si>
    <t>ANTE LUCIĆ</t>
  </si>
  <si>
    <t>Naziv društva za upravljanje investicijskim fondom:   SL INVEST d.o.o. do 27.12.2011. CERTUS INVEST od 28.12.2011.</t>
  </si>
  <si>
    <t>SLAVONSKI ZATVORENI INVESTICIJSKI FOND S JAVNOM PONUDOM d.d.</t>
  </si>
  <si>
    <t>vesna@pentagram.hr</t>
  </si>
  <si>
    <t>auctorinvest@auctorinvest.hr</t>
  </si>
</sst>
</file>

<file path=xl/styles.xml><?xml version="1.0" encoding="utf-8"?>
<styleSheet xmlns="http://schemas.openxmlformats.org/spreadsheetml/2006/main">
  <numFmts count="7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left"/>
      <protection/>
    </xf>
    <xf numFmtId="0" fontId="0" fillId="0" borderId="0" xfId="57" applyFont="1" applyBorder="1">
      <alignment vertical="top"/>
      <protection/>
    </xf>
    <xf numFmtId="14" fontId="3" fillId="34" borderId="1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horizontal="left" vertical="center" wrapText="1"/>
      <protection hidden="1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0" fillId="0" borderId="0" xfId="57" applyFont="1" applyBorder="1" applyAlignment="1" applyProtection="1">
      <alignment horizontal="left" vertical="center" wrapText="1"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10" fillId="0" borderId="0" xfId="57" applyFont="1" applyFill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left" vertical="center"/>
      <protection hidden="1"/>
    </xf>
    <xf numFmtId="0" fontId="11" fillId="0" borderId="12" xfId="57" applyFont="1" applyBorder="1" applyAlignment="1" applyProtection="1">
      <alignment horizontal="right"/>
      <protection hidden="1"/>
    </xf>
    <xf numFmtId="49" fontId="3" fillId="34" borderId="13" xfId="57" applyNumberFormat="1" applyFont="1" applyFill="1" applyBorder="1" applyAlignment="1" applyProtection="1">
      <alignment horizontal="center" vertical="center"/>
      <protection hidden="1" locked="0"/>
    </xf>
    <xf numFmtId="49" fontId="3" fillId="34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wrapText="1"/>
      <protection hidden="1"/>
    </xf>
    <xf numFmtId="0" fontId="11" fillId="0" borderId="0" xfId="57" applyFont="1" applyBorder="1" applyAlignment="1" applyProtection="1">
      <alignment horizontal="left"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horizontal="left" vertical="center" wrapText="1"/>
      <protection hidden="1"/>
    </xf>
    <xf numFmtId="0" fontId="11" fillId="0" borderId="12" xfId="57" applyFont="1" applyBorder="1" applyAlignment="1" applyProtection="1">
      <alignment horizontal="right" wrapText="1"/>
      <protection hidden="1"/>
    </xf>
    <xf numFmtId="0" fontId="11" fillId="0" borderId="0" xfId="57" applyFont="1" applyBorder="1" applyAlignment="1" applyProtection="1">
      <alignment horizontal="left" wrapText="1"/>
      <protection hidden="1"/>
    </xf>
    <xf numFmtId="0" fontId="11" fillId="0" borderId="0" xfId="57" applyFont="1" applyBorder="1" applyAlignment="1" applyProtection="1">
      <alignment horizontal="right" wrapText="1"/>
      <protection hidden="1"/>
    </xf>
    <xf numFmtId="0" fontId="3" fillId="34" borderId="13" xfId="57" applyFont="1" applyFill="1" applyBorder="1" applyAlignment="1" applyProtection="1">
      <alignment horizontal="left" vertical="center"/>
      <protection hidden="1" locked="0"/>
    </xf>
    <xf numFmtId="49" fontId="3" fillId="34" borderId="15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 applyProtection="1">
      <alignment vertical="top"/>
      <protection hidden="1"/>
    </xf>
    <xf numFmtId="0" fontId="0" fillId="0" borderId="11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/>
      <protection hidden="1" locked="0"/>
    </xf>
    <xf numFmtId="0" fontId="3" fillId="34" borderId="15" xfId="57" applyFont="1" applyFill="1" applyBorder="1" applyAlignment="1" applyProtection="1">
      <alignment horizontal="left" vertical="center"/>
      <protection hidden="1" locked="0"/>
    </xf>
    <xf numFmtId="0" fontId="3" fillId="34" borderId="14" xfId="57" applyFont="1" applyFill="1" applyBorder="1" applyAlignment="1" applyProtection="1">
      <alignment horizontal="left" vertical="center"/>
      <protection hidden="1" locked="0"/>
    </xf>
    <xf numFmtId="0" fontId="11" fillId="0" borderId="11" xfId="57" applyFont="1" applyBorder="1" applyAlignment="1" applyProtection="1">
      <alignment horizontal="right" vertical="center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11" fillId="0" borderId="0" xfId="57" applyFont="1" applyBorder="1" applyAlignment="1" applyProtection="1">
      <alignment horizontal="right" vertical="center"/>
      <protection hidden="1"/>
    </xf>
    <xf numFmtId="3" fontId="3" fillId="34" borderId="13" xfId="57" applyNumberFormat="1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 horizontal="right"/>
      <protection hidden="1"/>
    </xf>
    <xf numFmtId="0" fontId="0" fillId="0" borderId="0" xfId="57" applyFont="1" applyBorder="1" applyAlignment="1" applyProtection="1">
      <alignment/>
      <protection hidden="1"/>
    </xf>
    <xf numFmtId="49" fontId="3" fillId="34" borderId="13" xfId="57" applyNumberFormat="1" applyFont="1" applyFill="1" applyBorder="1" applyAlignment="1" applyProtection="1">
      <alignment horizontal="right" vertical="center"/>
      <protection hidden="1" locked="0"/>
    </xf>
    <xf numFmtId="0" fontId="0" fillId="0" borderId="0" xfId="57" applyFont="1" applyBorder="1" applyAlignment="1" applyProtection="1">
      <alignment horizontal="left" vertical="top" wrapText="1"/>
      <protection hidden="1"/>
    </xf>
    <xf numFmtId="0" fontId="0" fillId="0" borderId="0" xfId="57" applyFont="1" applyBorder="1" applyAlignment="1" applyProtection="1">
      <alignment horizontal="left" vertical="center"/>
      <protection hidden="1"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Border="1" applyAlignment="1">
      <alignment vertical="center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0" xfId="57" applyFont="1" applyFill="1" applyBorder="1" applyProtection="1">
      <alignment vertical="top"/>
      <protection hidden="1"/>
    </xf>
    <xf numFmtId="0" fontId="0" fillId="0" borderId="0" xfId="57" applyFont="1" applyBorder="1" applyAlignment="1" applyProtection="1">
      <alignment horizontal="center" vertical="center"/>
      <protection hidden="1" locked="0"/>
    </xf>
    <xf numFmtId="0" fontId="0" fillId="0" borderId="15" xfId="57" applyFont="1" applyBorder="1" applyAlignment="1">
      <alignment/>
      <protection/>
    </xf>
    <xf numFmtId="0" fontId="0" fillId="0" borderId="14" xfId="57" applyFont="1" applyBorder="1" applyAlignment="1">
      <alignment/>
      <protection/>
    </xf>
    <xf numFmtId="0" fontId="3" fillId="34" borderId="13" xfId="57" applyFont="1" applyFill="1" applyBorder="1" applyAlignment="1" applyProtection="1">
      <alignment horizontal="right" vertical="center"/>
      <protection hidden="1" locked="0"/>
    </xf>
    <xf numFmtId="49" fontId="3" fillId="0" borderId="15" xfId="57" applyNumberFormat="1" applyFont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 applyProtection="1">
      <alignment vertical="top" wrapText="1"/>
      <protection hidden="1"/>
    </xf>
    <xf numFmtId="0" fontId="0" fillId="0" borderId="0" xfId="57" applyFont="1" applyBorder="1" applyAlignment="1" applyProtection="1">
      <alignment horizontal="left" vertical="top" indent="2"/>
      <protection hidden="1"/>
    </xf>
    <xf numFmtId="0" fontId="0" fillId="0" borderId="0" xfId="57" applyFont="1" applyBorder="1" applyAlignment="1" applyProtection="1">
      <alignment horizontal="left" vertical="top" wrapText="1" indent="2"/>
      <protection hidden="1"/>
    </xf>
    <xf numFmtId="0" fontId="11" fillId="0" borderId="0" xfId="57" applyFont="1" applyBorder="1" applyAlignment="1" applyProtection="1">
      <alignment horizontal="left" vertical="top"/>
      <protection hidden="1"/>
    </xf>
    <xf numFmtId="0" fontId="11" fillId="0" borderId="0" xfId="57" applyFont="1" applyBorder="1" applyAlignment="1" applyProtection="1">
      <alignment horizontal="right" vertical="top"/>
      <protection hidden="1"/>
    </xf>
    <xf numFmtId="0" fontId="12" fillId="0" borderId="0" xfId="57" applyFont="1" applyBorder="1" applyAlignment="1" applyProtection="1">
      <alignment horizontal="center" vertical="top"/>
      <protection hidden="1"/>
    </xf>
    <xf numFmtId="0" fontId="0" fillId="0" borderId="0" xfId="57" applyFont="1" applyBorder="1" applyAlignment="1" applyProtection="1">
      <alignment horizontal="center"/>
      <protection hidden="1"/>
    </xf>
    <xf numFmtId="0" fontId="3" fillId="34" borderId="0" xfId="57" applyFont="1" applyFill="1" applyBorder="1" applyAlignment="1" applyProtection="1">
      <alignment horizontal="left" vertical="center"/>
      <protection hidden="1" locked="0"/>
    </xf>
    <xf numFmtId="0" fontId="0" fillId="0" borderId="0" xfId="57" applyFont="1" applyBorder="1" applyAlignment="1">
      <alignment/>
      <protection/>
    </xf>
    <xf numFmtId="0" fontId="3" fillId="34" borderId="0" xfId="57" applyFont="1" applyFill="1" applyBorder="1" applyAlignment="1" applyProtection="1">
      <alignment horizontal="right" vertical="center"/>
      <protection hidden="1" locked="0"/>
    </xf>
    <xf numFmtId="49" fontId="3" fillId="34" borderId="0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57" applyNumberFormat="1" applyFont="1" applyBorder="1" applyAlignment="1" applyProtection="1">
      <alignment horizontal="center" vertical="center"/>
      <protection hidden="1" locked="0"/>
    </xf>
    <xf numFmtId="0" fontId="12" fillId="0" borderId="0" xfId="57" applyFont="1" applyBorder="1" applyAlignment="1" applyProtection="1">
      <alignment horizontal="left" vertical="top"/>
      <protection hidden="1"/>
    </xf>
    <xf numFmtId="49" fontId="3" fillId="0" borderId="14" xfId="57" applyNumberFormat="1" applyFont="1" applyBorder="1" applyAlignment="1" applyProtection="1">
      <alignment horizontal="center" vertical="center"/>
      <protection hidden="1" locked="0"/>
    </xf>
    <xf numFmtId="0" fontId="0" fillId="0" borderId="16" xfId="57" applyFont="1" applyBorder="1" applyAlignment="1" applyProtection="1">
      <alignment horizontal="center"/>
      <protection hidden="1"/>
    </xf>
    <xf numFmtId="0" fontId="0" fillId="0" borderId="16" xfId="57" applyFont="1" applyBorder="1" applyProtection="1">
      <alignment vertical="top"/>
      <protection hidden="1"/>
    </xf>
    <xf numFmtId="0" fontId="3" fillId="0" borderId="15" xfId="57" applyFont="1" applyBorder="1" applyAlignment="1" applyProtection="1">
      <alignment horizontal="left" vertical="center"/>
      <protection hidden="1" locked="0"/>
    </xf>
    <xf numFmtId="49" fontId="3" fillId="34" borderId="13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Border="1" applyAlignment="1" applyProtection="1">
      <alignment horizontal="left" vertical="center"/>
      <protection hidden="1" locked="0"/>
    </xf>
    <xf numFmtId="49" fontId="3" fillId="0" borderId="14" xfId="57" applyNumberFormat="1" applyFont="1" applyBorder="1" applyAlignment="1" applyProtection="1">
      <alignment horizontal="left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0" fillId="0" borderId="15" xfId="57" applyFont="1" applyBorder="1" applyAlignment="1">
      <alignment horizontal="left" vertical="center"/>
      <protection/>
    </xf>
    <xf numFmtId="0" fontId="6" fillId="0" borderId="0" xfId="57" applyFont="1" applyBorder="1" applyAlignment="1" applyProtection="1">
      <alignment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0" fillId="0" borderId="0" xfId="57" applyFont="1" applyBorder="1" applyAlignment="1" applyProtection="1">
      <alignment horizontal="right" vertical="top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0" fillId="0" borderId="0" xfId="57" applyFont="1" applyBorder="1" applyAlignment="1" applyProtection="1">
      <alignment horizontal="lef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 hidden="1"/>
    </xf>
    <xf numFmtId="0" fontId="0" fillId="0" borderId="0" xfId="57" applyFont="1" applyFill="1" applyBorder="1" applyAlignment="1" applyProtection="1">
      <alignment horizontal="right" vertical="top" wrapText="1"/>
      <protection hidden="1"/>
    </xf>
    <xf numFmtId="0" fontId="12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0" fillId="0" borderId="17" xfId="57" applyFont="1" applyBorder="1" applyProtection="1">
      <alignment vertical="top"/>
      <protection hidden="1"/>
    </xf>
    <xf numFmtId="0" fontId="0" fillId="0" borderId="17" xfId="57" applyFont="1" applyBorder="1">
      <alignment vertical="top"/>
      <protection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5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5" borderId="0" xfId="0" applyFont="1" applyFill="1" applyAlignment="1">
      <alignment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/>
      <protection hidden="1"/>
    </xf>
    <xf numFmtId="0" fontId="7" fillId="0" borderId="0" xfId="59" applyAlignment="1">
      <alignment/>
      <protection/>
    </xf>
    <xf numFmtId="0" fontId="13" fillId="0" borderId="0" xfId="59" applyFont="1" applyAlignment="1" applyProtection="1">
      <alignment/>
      <protection hidden="1"/>
    </xf>
    <xf numFmtId="49" fontId="23" fillId="34" borderId="13" xfId="60" applyNumberFormat="1" applyFont="1" applyFill="1" applyBorder="1" applyAlignment="1" applyProtection="1">
      <alignment horizontal="center" vertical="center"/>
      <protection hidden="1" locked="0"/>
    </xf>
    <xf numFmtId="49" fontId="23" fillId="34" borderId="14" xfId="60" applyNumberFormat="1" applyFont="1" applyFill="1" applyBorder="1" applyAlignment="1" applyProtection="1">
      <alignment horizontal="center" vertical="center"/>
      <protection hidden="1" locked="0"/>
    </xf>
    <xf numFmtId="0" fontId="24" fillId="0" borderId="0" xfId="60" applyFont="1" applyBorder="1" applyAlignment="1" applyProtection="1">
      <alignment wrapText="1"/>
      <protection hidden="1"/>
    </xf>
    <xf numFmtId="0" fontId="24" fillId="0" borderId="0" xfId="60" applyFont="1" applyBorder="1" applyProtection="1">
      <alignment vertical="top"/>
      <protection hidden="1"/>
    </xf>
    <xf numFmtId="0" fontId="24" fillId="0" borderId="0" xfId="60" applyFont="1" applyBorder="1" applyAlignment="1" applyProtection="1">
      <alignment horizontal="left"/>
      <protection hidden="1"/>
    </xf>
    <xf numFmtId="0" fontId="23" fillId="34" borderId="13" xfId="60" applyFont="1" applyFill="1" applyBorder="1" applyAlignment="1" applyProtection="1">
      <alignment horizontal="left" vertical="center"/>
      <protection hidden="1" locked="0"/>
    </xf>
    <xf numFmtId="49" fontId="23" fillId="34" borderId="15" xfId="60" applyNumberFormat="1" applyFont="1" applyFill="1" applyBorder="1" applyAlignment="1" applyProtection="1">
      <alignment horizontal="center" vertical="center"/>
      <protection hidden="1" locked="0"/>
    </xf>
    <xf numFmtId="0" fontId="25" fillId="0" borderId="0" xfId="60" applyFont="1" applyBorder="1" applyAlignment="1" applyProtection="1">
      <alignment vertical="top"/>
      <protection hidden="1"/>
    </xf>
    <xf numFmtId="1" fontId="23" fillId="34" borderId="13" xfId="60" applyNumberFormat="1" applyFont="1" applyFill="1" applyBorder="1" applyAlignment="1" applyProtection="1">
      <alignment horizontal="center" vertical="center"/>
      <protection hidden="1" locked="0"/>
    </xf>
    <xf numFmtId="1" fontId="23" fillId="34" borderId="14" xfId="60" applyNumberFormat="1" applyFont="1" applyFill="1" applyBorder="1" applyAlignment="1" applyProtection="1">
      <alignment horizontal="center" vertical="center"/>
      <protection hidden="1" locked="0"/>
    </xf>
    <xf numFmtId="0" fontId="2" fillId="34" borderId="13" xfId="53" applyFill="1" applyBorder="1" applyAlignment="1" applyProtection="1">
      <alignment horizontal="left" vertical="center"/>
      <protection hidden="1" locked="0"/>
    </xf>
    <xf numFmtId="1" fontId="23" fillId="34" borderId="18" xfId="60" applyNumberFormat="1" applyFont="1" applyFill="1" applyBorder="1" applyAlignment="1" applyProtection="1">
      <alignment horizontal="center" vertical="center"/>
      <protection hidden="1" locked="0"/>
    </xf>
    <xf numFmtId="0" fontId="23" fillId="34" borderId="15" xfId="60" applyFont="1" applyFill="1" applyBorder="1" applyAlignment="1" applyProtection="1">
      <alignment horizontal="left" vertical="center"/>
      <protection hidden="1" locked="0"/>
    </xf>
    <xf numFmtId="0" fontId="23" fillId="34" borderId="14" xfId="60" applyFont="1" applyFill="1" applyBorder="1" applyAlignment="1" applyProtection="1">
      <alignment horizontal="left" vertical="center"/>
      <protection hidden="1" locked="0"/>
    </xf>
    <xf numFmtId="0" fontId="23" fillId="34" borderId="18" xfId="60" applyFont="1" applyFill="1" applyBorder="1" applyAlignment="1" applyProtection="1">
      <alignment horizontal="center" vertical="center"/>
      <protection hidden="1" locked="0"/>
    </xf>
    <xf numFmtId="0" fontId="26" fillId="0" borderId="0" xfId="60" applyFont="1" applyBorder="1" applyAlignment="1" applyProtection="1">
      <alignment vertical="top"/>
      <protection hidden="1"/>
    </xf>
    <xf numFmtId="0" fontId="24" fillId="0" borderId="0" xfId="60" applyFont="1" applyBorder="1">
      <alignment vertical="top"/>
      <protection/>
    </xf>
    <xf numFmtId="0" fontId="24" fillId="0" borderId="0" xfId="60" applyFont="1" applyBorder="1" applyAlignment="1" applyProtection="1">
      <alignment/>
      <protection hidden="1"/>
    </xf>
    <xf numFmtId="49" fontId="23" fillId="34" borderId="13" xfId="60" applyNumberFormat="1" applyFont="1" applyFill="1" applyBorder="1" applyAlignment="1" applyProtection="1">
      <alignment horizontal="left" vertical="center"/>
      <protection hidden="1" locked="0"/>
    </xf>
    <xf numFmtId="49" fontId="2" fillId="34" borderId="13" xfId="53" applyNumberFormat="1" applyFill="1" applyBorder="1" applyAlignment="1" applyProtection="1">
      <alignment horizontal="left" vertical="center"/>
      <protection hidden="1" locked="0"/>
    </xf>
    <xf numFmtId="4" fontId="29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horizontal="right" vertical="center" wrapText="1"/>
    </xf>
    <xf numFmtId="4" fontId="31" fillId="0" borderId="10" xfId="0" applyNumberFormat="1" applyFont="1" applyFill="1" applyBorder="1" applyAlignment="1">
      <alignment horizontal="right" vertical="center" wrapText="1"/>
    </xf>
    <xf numFmtId="4" fontId="30" fillId="0" borderId="10" xfId="0" applyNumberFormat="1" applyFont="1" applyFill="1" applyBorder="1" applyAlignment="1">
      <alignment vertical="center"/>
    </xf>
    <xf numFmtId="165" fontId="29" fillId="0" borderId="10" xfId="0" applyNumberFormat="1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horizontal="right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3" fontId="2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vertical="center" wrapText="1"/>
    </xf>
    <xf numFmtId="0" fontId="13" fillId="0" borderId="0" xfId="58" applyFont="1" applyBorder="1" applyAlignment="1" applyProtection="1">
      <alignment horizontal="left" vertical="center"/>
      <protection hidden="1"/>
    </xf>
    <xf numFmtId="0" fontId="8" fillId="0" borderId="0" xfId="57" applyFont="1" applyBorder="1" applyAlignment="1">
      <alignment/>
      <protection/>
    </xf>
    <xf numFmtId="0" fontId="12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0" xfId="57" applyFont="1" applyBorder="1" applyAlignment="1">
      <alignment horizontal="center"/>
      <protection/>
    </xf>
    <xf numFmtId="0" fontId="6" fillId="0" borderId="19" xfId="57" applyFont="1" applyBorder="1" applyAlignment="1" applyProtection="1">
      <alignment horizontal="center" vertical="top"/>
      <protection hidden="1"/>
    </xf>
    <xf numFmtId="0" fontId="6" fillId="0" borderId="19" xfId="57" applyFont="1" applyBorder="1" applyAlignment="1">
      <alignment horizontal="center"/>
      <protection/>
    </xf>
    <xf numFmtId="0" fontId="6" fillId="0" borderId="19" xfId="57" applyFont="1" applyBorder="1" applyAlignment="1">
      <alignment/>
      <protection/>
    </xf>
    <xf numFmtId="0" fontId="22" fillId="0" borderId="0" xfId="59" applyFont="1" applyAlignment="1" applyProtection="1">
      <alignment horizontal="left"/>
      <protection hidden="1"/>
    </xf>
    <xf numFmtId="0" fontId="3" fillId="0" borderId="0" xfId="59" applyFont="1" applyAlignment="1">
      <alignment/>
      <protection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6" fillId="35" borderId="0" xfId="0" applyFont="1" applyFill="1" applyAlignment="1">
      <alignment horizontal="right"/>
    </xf>
    <xf numFmtId="0" fontId="21" fillId="0" borderId="20" xfId="0" applyNumberFormat="1" applyFont="1" applyBorder="1" applyAlignment="1">
      <alignment horizontal="left" vertical="center" wrapText="1"/>
    </xf>
    <xf numFmtId="0" fontId="21" fillId="0" borderId="21" xfId="0" applyNumberFormat="1" applyFont="1" applyBorder="1" applyAlignment="1">
      <alignment horizontal="left" vertical="center" wrapText="1"/>
    </xf>
    <xf numFmtId="0" fontId="21" fillId="0" borderId="22" xfId="0" applyNumberFormat="1" applyFont="1" applyBorder="1" applyAlignment="1">
      <alignment horizontal="left" vertical="center" wrapText="1"/>
    </xf>
    <xf numFmtId="0" fontId="17" fillId="0" borderId="20" xfId="0" applyNumberFormat="1" applyFont="1" applyBorder="1" applyAlignment="1">
      <alignment horizontal="left" vertical="center" wrapText="1"/>
    </xf>
    <xf numFmtId="0" fontId="17" fillId="0" borderId="21" xfId="0" applyNumberFormat="1" applyFont="1" applyBorder="1" applyAlignment="1">
      <alignment horizontal="left" vertical="center" wrapText="1"/>
    </xf>
    <xf numFmtId="0" fontId="17" fillId="0" borderId="22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 (Dostaviti u XLS formatu)" xfId="57"/>
    <cellStyle name="Normal_TFI-KI" xfId="58"/>
    <cellStyle name="Normal_TFI-POD" xfId="59"/>
    <cellStyle name="Normal_TFI-ZIF STARI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jska%20izvje&#353;&#263;a%20za%204.%20kvartal\vesna\Financijski%20izvje+&#237;taji%203112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BORNIK"/>
      <sheetName val="DATA"/>
      <sheetName val="IFP"/>
      <sheetName val="ISD"/>
      <sheetName val="INT"/>
      <sheetName val="INTi"/>
      <sheetName val="IPK"/>
      <sheetName val="PFP"/>
      <sheetName val="IB"/>
    </sheetNames>
    <sheetDataSet>
      <sheetData sheetId="2">
        <row r="10">
          <cell r="D10">
            <v>6601824.109999999</v>
          </cell>
        </row>
        <row r="13">
          <cell r="D13">
            <v>149867103.16</v>
          </cell>
          <cell r="E13">
            <v>168589919.76</v>
          </cell>
        </row>
        <row r="17">
          <cell r="D17">
            <v>1495500</v>
          </cell>
          <cell r="E17">
            <v>628731.63</v>
          </cell>
        </row>
        <row r="18">
          <cell r="D18">
            <v>0</v>
          </cell>
          <cell r="E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212664.25</v>
          </cell>
          <cell r="E22">
            <v>131829.53</v>
          </cell>
        </row>
        <row r="23">
          <cell r="D23">
            <v>412760.35</v>
          </cell>
          <cell r="E23">
            <v>420878.26</v>
          </cell>
        </row>
        <row r="29">
          <cell r="D29">
            <v>54063.64</v>
          </cell>
          <cell r="E29">
            <v>2404.41</v>
          </cell>
        </row>
        <row r="32">
          <cell r="D32">
            <v>179338.07</v>
          </cell>
          <cell r="E32">
            <v>645817.52</v>
          </cell>
        </row>
        <row r="33">
          <cell r="D33">
            <v>13211.32</v>
          </cell>
          <cell r="E33">
            <v>29273.730000000003</v>
          </cell>
        </row>
        <row r="34">
          <cell r="D34">
            <v>0</v>
          </cell>
          <cell r="E34">
            <v>42524.06</v>
          </cell>
        </row>
        <row r="35">
          <cell r="D35">
            <v>1864240</v>
          </cell>
          <cell r="E35">
            <v>1652630</v>
          </cell>
        </row>
        <row r="36">
          <cell r="D36">
            <v>11472.5</v>
          </cell>
          <cell r="E36">
            <v>10619.2</v>
          </cell>
        </row>
        <row r="48">
          <cell r="D48">
            <v>301177620</v>
          </cell>
        </row>
        <row r="51">
          <cell r="D51">
            <v>15058881</v>
          </cell>
          <cell r="E51">
            <v>15058881</v>
          </cell>
        </row>
        <row r="52">
          <cell r="D52">
            <v>-135094010.22</v>
          </cell>
          <cell r="E52">
            <v>-117710225.6</v>
          </cell>
        </row>
        <row r="54">
          <cell r="D54">
            <v>8736482.4</v>
          </cell>
          <cell r="E54">
            <v>-24674964.439999998</v>
          </cell>
        </row>
        <row r="55">
          <cell r="D55">
            <v>-33411446.84</v>
          </cell>
          <cell r="E55">
            <v>-4971047.870000001</v>
          </cell>
        </row>
      </sheetData>
      <sheetData sheetId="3">
        <row r="11">
          <cell r="F11">
            <v>1298442.8900000001</v>
          </cell>
        </row>
        <row r="13">
          <cell r="F13">
            <v>1074213.42</v>
          </cell>
        </row>
        <row r="20">
          <cell r="F20">
            <v>297.32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sna@pentagram.hr" TargetMode="External" /><Relationship Id="rId2" Type="http://schemas.openxmlformats.org/officeDocument/2006/relationships/hyperlink" Target="mailto:auctorinvest@auctorinvest.hr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29.57421875" style="3" customWidth="1"/>
    <col min="2" max="2" width="3.140625" style="3" customWidth="1"/>
    <col min="3" max="9" width="14.7109375" style="3" customWidth="1"/>
    <col min="10" max="16384" width="9.140625" style="3" customWidth="1"/>
  </cols>
  <sheetData>
    <row r="1" spans="1:4" ht="15.75">
      <c r="A1" s="163" t="s">
        <v>212</v>
      </c>
      <c r="B1" s="163"/>
      <c r="C1" s="163"/>
      <c r="D1" s="163"/>
    </row>
    <row r="2" spans="1:9" ht="12.75">
      <c r="A2" s="4"/>
      <c r="B2" s="5"/>
      <c r="C2" s="5"/>
      <c r="D2" s="5"/>
      <c r="E2" s="5"/>
      <c r="F2" s="5"/>
      <c r="G2" s="5"/>
      <c r="H2" s="5"/>
      <c r="I2" s="5"/>
    </row>
    <row r="3" spans="1:9" ht="12.75">
      <c r="A3" s="166" t="s">
        <v>153</v>
      </c>
      <c r="B3" s="166"/>
      <c r="C3" s="166"/>
      <c r="D3" s="167"/>
      <c r="E3" s="6" t="s">
        <v>231</v>
      </c>
      <c r="F3" s="7"/>
      <c r="G3" s="8" t="s">
        <v>154</v>
      </c>
      <c r="H3" s="6" t="s">
        <v>232</v>
      </c>
      <c r="I3" s="9"/>
    </row>
    <row r="4" spans="1:9" ht="12.75">
      <c r="A4" s="10"/>
      <c r="B4" s="11"/>
      <c r="C4" s="11"/>
      <c r="D4" s="11"/>
      <c r="E4" s="12"/>
      <c r="F4" s="12"/>
      <c r="G4" s="11"/>
      <c r="H4" s="11"/>
      <c r="I4" s="13"/>
    </row>
    <row r="5" spans="1:9" ht="15.75">
      <c r="A5" s="168" t="s">
        <v>184</v>
      </c>
      <c r="B5" s="168"/>
      <c r="C5" s="168"/>
      <c r="D5" s="168"/>
      <c r="E5" s="168"/>
      <c r="F5" s="168"/>
      <c r="G5" s="168"/>
      <c r="H5" s="168"/>
      <c r="I5" s="168"/>
    </row>
    <row r="6" spans="1:9" ht="15.75">
      <c r="A6" s="14"/>
      <c r="B6" s="169" t="s">
        <v>155</v>
      </c>
      <c r="C6" s="170"/>
      <c r="D6" s="170"/>
      <c r="E6" s="170"/>
      <c r="F6" s="170"/>
      <c r="G6" s="170"/>
      <c r="H6" s="170"/>
      <c r="I6" s="15"/>
    </row>
    <row r="7" spans="1:9" ht="12.75">
      <c r="A7" s="16" t="s">
        <v>156</v>
      </c>
      <c r="B7" s="17"/>
      <c r="C7" s="131" t="s">
        <v>219</v>
      </c>
      <c r="D7" s="132"/>
      <c r="E7" s="133"/>
      <c r="F7" s="133"/>
      <c r="G7" s="20"/>
      <c r="H7" s="20"/>
      <c r="I7" s="20"/>
    </row>
    <row r="8" spans="1:9" ht="12.75">
      <c r="A8" s="21"/>
      <c r="B8" s="22"/>
      <c r="C8" s="134"/>
      <c r="D8" s="134"/>
      <c r="E8" s="133"/>
      <c r="F8" s="133"/>
      <c r="G8" s="20"/>
      <c r="H8" s="20"/>
      <c r="I8" s="20"/>
    </row>
    <row r="9" spans="1:9" ht="12.75">
      <c r="A9" s="24" t="s">
        <v>157</v>
      </c>
      <c r="B9" s="25"/>
      <c r="C9" s="131" t="s">
        <v>220</v>
      </c>
      <c r="D9" s="132"/>
      <c r="E9" s="133"/>
      <c r="F9" s="133"/>
      <c r="G9" s="20"/>
      <c r="H9" s="20"/>
      <c r="I9" s="23"/>
    </row>
    <row r="10" spans="1:9" ht="12.75">
      <c r="A10" s="26"/>
      <c r="B10" s="27"/>
      <c r="C10" s="135"/>
      <c r="D10" s="134"/>
      <c r="E10" s="134"/>
      <c r="F10" s="134"/>
      <c r="G10" s="23"/>
      <c r="H10" s="23"/>
      <c r="I10" s="23"/>
    </row>
    <row r="11" spans="1:9" ht="12.75">
      <c r="A11" s="24" t="s">
        <v>158</v>
      </c>
      <c r="B11" s="27"/>
      <c r="C11" s="131" t="s">
        <v>221</v>
      </c>
      <c r="D11" s="132"/>
      <c r="E11" s="134"/>
      <c r="F11" s="134"/>
      <c r="G11" s="23"/>
      <c r="H11" s="23"/>
      <c r="I11" s="23"/>
    </row>
    <row r="12" spans="1:9" ht="12.75">
      <c r="A12" s="26"/>
      <c r="B12" s="27"/>
      <c r="C12" s="134"/>
      <c r="D12" s="134"/>
      <c r="E12" s="134"/>
      <c r="F12" s="134"/>
      <c r="G12" s="23"/>
      <c r="H12" s="23"/>
      <c r="I12" s="23"/>
    </row>
    <row r="13" spans="1:9" ht="12.75">
      <c r="A13" s="16" t="s">
        <v>159</v>
      </c>
      <c r="B13" s="17"/>
      <c r="C13" s="136" t="s">
        <v>238</v>
      </c>
      <c r="D13" s="137"/>
      <c r="E13" s="137"/>
      <c r="F13" s="137"/>
      <c r="G13" s="29"/>
      <c r="H13" s="19"/>
      <c r="I13" s="30"/>
    </row>
    <row r="14" spans="1:9" ht="12.75">
      <c r="A14" s="21"/>
      <c r="B14" s="22"/>
      <c r="C14" s="138"/>
      <c r="D14" s="134"/>
      <c r="E14" s="134"/>
      <c r="F14" s="134"/>
      <c r="G14" s="23"/>
      <c r="H14" s="23"/>
      <c r="I14" s="23"/>
    </row>
    <row r="15" spans="1:9" ht="12.75">
      <c r="A15" s="16" t="s">
        <v>160</v>
      </c>
      <c r="B15" s="17"/>
      <c r="C15" s="139">
        <v>10000</v>
      </c>
      <c r="D15" s="140"/>
      <c r="E15" s="134"/>
      <c r="F15" s="136" t="s">
        <v>222</v>
      </c>
      <c r="G15" s="29"/>
      <c r="H15" s="19"/>
      <c r="I15" s="32"/>
    </row>
    <row r="16" spans="1:9" ht="12.75">
      <c r="A16" s="21"/>
      <c r="B16" s="22"/>
      <c r="C16" s="134"/>
      <c r="D16" s="134"/>
      <c r="E16" s="134"/>
      <c r="F16" s="134"/>
      <c r="G16" s="23"/>
      <c r="H16" s="23"/>
      <c r="I16" s="23"/>
    </row>
    <row r="17" spans="1:9" ht="12.75">
      <c r="A17" s="16" t="s">
        <v>161</v>
      </c>
      <c r="B17" s="17"/>
      <c r="C17" s="136" t="s">
        <v>223</v>
      </c>
      <c r="D17" s="137"/>
      <c r="E17" s="137"/>
      <c r="F17" s="137"/>
      <c r="G17" s="29"/>
      <c r="H17" s="19"/>
      <c r="I17" s="30"/>
    </row>
    <row r="18" spans="1:9" ht="12.75">
      <c r="A18" s="21"/>
      <c r="B18" s="22"/>
      <c r="C18" s="134"/>
      <c r="D18" s="134"/>
      <c r="E18" s="134"/>
      <c r="F18" s="134"/>
      <c r="G18" s="23"/>
      <c r="H18" s="23"/>
      <c r="I18" s="23"/>
    </row>
    <row r="19" spans="1:9" ht="12.75">
      <c r="A19" s="16" t="s">
        <v>162</v>
      </c>
      <c r="B19" s="17"/>
      <c r="C19" s="141" t="s">
        <v>240</v>
      </c>
      <c r="D19" s="137"/>
      <c r="E19" s="137"/>
      <c r="F19" s="137"/>
      <c r="G19" s="29"/>
      <c r="H19" s="19"/>
      <c r="I19" s="33"/>
    </row>
    <row r="20" spans="1:9" ht="12.75">
      <c r="A20" s="21"/>
      <c r="B20" s="22"/>
      <c r="C20" s="138"/>
      <c r="D20" s="134"/>
      <c r="E20" s="134"/>
      <c r="F20" s="134"/>
      <c r="G20" s="23"/>
      <c r="H20" s="23"/>
      <c r="I20" s="23"/>
    </row>
    <row r="21" spans="1:9" ht="12.75">
      <c r="A21" s="16" t="s">
        <v>163</v>
      </c>
      <c r="B21" s="17"/>
      <c r="C21" s="136"/>
      <c r="D21" s="137"/>
      <c r="E21" s="137"/>
      <c r="F21" s="137"/>
      <c r="G21" s="29"/>
      <c r="H21" s="19"/>
      <c r="I21" s="33"/>
    </row>
    <row r="22" spans="1:9" ht="12.75">
      <c r="A22" s="21"/>
      <c r="B22" s="22"/>
      <c r="C22" s="138"/>
      <c r="D22" s="134"/>
      <c r="E22" s="134"/>
      <c r="F22" s="134"/>
      <c r="G22" s="23"/>
      <c r="H22" s="23"/>
      <c r="I22" s="23"/>
    </row>
    <row r="23" spans="1:9" ht="12.75">
      <c r="A23" s="16" t="s">
        <v>164</v>
      </c>
      <c r="B23" s="17"/>
      <c r="C23" s="142">
        <v>133</v>
      </c>
      <c r="D23" s="136" t="s">
        <v>222</v>
      </c>
      <c r="E23" s="143"/>
      <c r="F23" s="144"/>
      <c r="G23" s="36"/>
      <c r="H23" s="22"/>
      <c r="I23" s="37"/>
    </row>
    <row r="24" spans="1:9" ht="12.75">
      <c r="A24" s="21"/>
      <c r="B24" s="22"/>
      <c r="C24" s="134"/>
      <c r="D24" s="134"/>
      <c r="E24" s="134"/>
      <c r="F24" s="134"/>
      <c r="G24" s="23"/>
      <c r="H24" s="23"/>
      <c r="I24" s="23"/>
    </row>
    <row r="25" spans="1:9" ht="12.75">
      <c r="A25" s="16" t="s">
        <v>165</v>
      </c>
      <c r="B25" s="17"/>
      <c r="C25" s="142">
        <v>21</v>
      </c>
      <c r="D25" s="136" t="s">
        <v>224</v>
      </c>
      <c r="E25" s="143"/>
      <c r="F25" s="143"/>
      <c r="G25" s="35"/>
      <c r="H25" s="38" t="s">
        <v>166</v>
      </c>
      <c r="I25" s="39">
        <v>0</v>
      </c>
    </row>
    <row r="26" spans="1:9" ht="12.75">
      <c r="A26" s="21"/>
      <c r="B26" s="22"/>
      <c r="C26" s="134"/>
      <c r="D26" s="134"/>
      <c r="E26" s="134"/>
      <c r="F26" s="134"/>
      <c r="G26" s="22"/>
      <c r="H26" s="40" t="s">
        <v>185</v>
      </c>
      <c r="I26" s="31"/>
    </row>
    <row r="27" spans="1:9" ht="12.75">
      <c r="A27" s="16" t="s">
        <v>167</v>
      </c>
      <c r="B27" s="17"/>
      <c r="C27" s="145" t="s">
        <v>225</v>
      </c>
      <c r="D27" s="146"/>
      <c r="E27" s="147"/>
      <c r="F27" s="148"/>
      <c r="G27" s="38" t="s">
        <v>168</v>
      </c>
      <c r="H27" s="17"/>
      <c r="I27" s="42" t="s">
        <v>226</v>
      </c>
    </row>
    <row r="28" spans="1:9" ht="12.75">
      <c r="A28" s="21"/>
      <c r="B28" s="22"/>
      <c r="C28" s="23"/>
      <c r="D28" s="41"/>
      <c r="E28" s="41"/>
      <c r="F28" s="41"/>
      <c r="G28" s="41"/>
      <c r="H28" s="23"/>
      <c r="I28" s="43"/>
    </row>
    <row r="29" spans="1:9" ht="12.75">
      <c r="A29" s="44" t="s">
        <v>169</v>
      </c>
      <c r="B29" s="45"/>
      <c r="C29" s="46"/>
      <c r="D29" s="46"/>
      <c r="E29" s="45" t="s">
        <v>170</v>
      </c>
      <c r="F29" s="47"/>
      <c r="G29" s="47"/>
      <c r="H29" s="46" t="s">
        <v>171</v>
      </c>
      <c r="I29" s="46"/>
    </row>
    <row r="30" spans="1:9" ht="12.75">
      <c r="A30" s="48"/>
      <c r="B30" s="5"/>
      <c r="C30" s="5"/>
      <c r="D30" s="49"/>
      <c r="E30" s="23"/>
      <c r="F30" s="23"/>
      <c r="G30" s="23"/>
      <c r="H30" s="50"/>
      <c r="I30" s="43"/>
    </row>
    <row r="31" spans="1:9" ht="12.75">
      <c r="A31" s="34"/>
      <c r="B31" s="51"/>
      <c r="C31" s="51"/>
      <c r="D31" s="52"/>
      <c r="E31" s="53"/>
      <c r="F31" s="51"/>
      <c r="G31" s="51"/>
      <c r="H31" s="18"/>
      <c r="I31" s="54"/>
    </row>
    <row r="32" spans="1:9" ht="12.75">
      <c r="A32" s="21"/>
      <c r="B32" s="22"/>
      <c r="C32" s="31"/>
      <c r="D32" s="55"/>
      <c r="E32" s="55"/>
      <c r="F32" s="55"/>
      <c r="G32" s="20"/>
      <c r="H32" s="23"/>
      <c r="I32" s="56"/>
    </row>
    <row r="33" spans="1:9" ht="12.75">
      <c r="A33" s="34"/>
      <c r="B33" s="51"/>
      <c r="C33" s="51"/>
      <c r="D33" s="52"/>
      <c r="E33" s="53"/>
      <c r="F33" s="51"/>
      <c r="G33" s="51"/>
      <c r="H33" s="18"/>
      <c r="I33" s="54"/>
    </row>
    <row r="34" spans="1:9" ht="12.75">
      <c r="A34" s="21"/>
      <c r="B34" s="22"/>
      <c r="C34" s="31"/>
      <c r="D34" s="55"/>
      <c r="E34" s="55"/>
      <c r="F34" s="55"/>
      <c r="G34" s="20"/>
      <c r="H34" s="23"/>
      <c r="I34" s="57"/>
    </row>
    <row r="35" spans="1:9" ht="12.75">
      <c r="A35" s="34"/>
      <c r="B35" s="51"/>
      <c r="C35" s="51"/>
      <c r="D35" s="52"/>
      <c r="E35" s="53"/>
      <c r="F35" s="51"/>
      <c r="G35" s="51"/>
      <c r="H35" s="18"/>
      <c r="I35" s="54"/>
    </row>
    <row r="36" spans="1:9" ht="12.75">
      <c r="A36" s="21"/>
      <c r="B36" s="22"/>
      <c r="C36" s="31"/>
      <c r="D36" s="55"/>
      <c r="E36" s="55"/>
      <c r="F36" s="55"/>
      <c r="G36" s="20"/>
      <c r="H36" s="23"/>
      <c r="I36" s="57"/>
    </row>
    <row r="37" spans="1:9" ht="12.75">
      <c r="A37" s="34"/>
      <c r="B37" s="51"/>
      <c r="C37" s="51"/>
      <c r="D37" s="52"/>
      <c r="E37" s="53"/>
      <c r="F37" s="51"/>
      <c r="G37" s="51"/>
      <c r="H37" s="18"/>
      <c r="I37" s="54"/>
    </row>
    <row r="38" spans="1:9" ht="12.75">
      <c r="A38" s="58"/>
      <c r="B38" s="59"/>
      <c r="C38" s="60"/>
      <c r="D38" s="61"/>
      <c r="E38" s="23"/>
      <c r="F38" s="60"/>
      <c r="G38" s="61"/>
      <c r="H38" s="23"/>
      <c r="I38" s="23"/>
    </row>
    <row r="39" spans="1:9" ht="12.75">
      <c r="A39" s="34"/>
      <c r="B39" s="51"/>
      <c r="C39" s="51"/>
      <c r="D39" s="52"/>
      <c r="E39" s="53"/>
      <c r="F39" s="51"/>
      <c r="G39" s="51"/>
      <c r="H39" s="18"/>
      <c r="I39" s="54"/>
    </row>
    <row r="40" spans="1:9" ht="12.75">
      <c r="A40" s="58"/>
      <c r="B40" s="59"/>
      <c r="C40" s="60"/>
      <c r="D40" s="61"/>
      <c r="E40" s="23"/>
      <c r="F40" s="60"/>
      <c r="G40" s="61"/>
      <c r="H40" s="23"/>
      <c r="I40" s="23"/>
    </row>
    <row r="41" spans="1:9" ht="12.75">
      <c r="A41" s="34"/>
      <c r="B41" s="51"/>
      <c r="C41" s="51"/>
      <c r="D41" s="52"/>
      <c r="E41" s="53"/>
      <c r="F41" s="51"/>
      <c r="G41" s="51"/>
      <c r="H41" s="18"/>
      <c r="I41" s="54"/>
    </row>
    <row r="42" spans="1:9" ht="12.75">
      <c r="A42" s="62"/>
      <c r="B42" s="63"/>
      <c r="C42" s="63"/>
      <c r="D42" s="63"/>
      <c r="E42" s="64"/>
      <c r="F42" s="63"/>
      <c r="G42" s="63"/>
      <c r="H42" s="65"/>
      <c r="I42" s="66"/>
    </row>
    <row r="43" spans="1:9" ht="12.75">
      <c r="A43" s="58"/>
      <c r="B43" s="59"/>
      <c r="C43" s="60"/>
      <c r="D43" s="61"/>
      <c r="E43" s="23"/>
      <c r="F43" s="60"/>
      <c r="G43" s="61"/>
      <c r="H43" s="23"/>
      <c r="I43" s="23"/>
    </row>
    <row r="44" spans="1:9" ht="12.75">
      <c r="A44" s="58"/>
      <c r="B44" s="58"/>
      <c r="C44" s="67"/>
      <c r="D44" s="14"/>
      <c r="E44" s="14"/>
      <c r="F44" s="67"/>
      <c r="G44" s="14"/>
      <c r="H44" s="14"/>
      <c r="I44" s="14"/>
    </row>
    <row r="45" spans="1:9" ht="12.75">
      <c r="A45" s="24" t="s">
        <v>172</v>
      </c>
      <c r="B45" s="25"/>
      <c r="C45" s="18"/>
      <c r="D45" s="68"/>
      <c r="E45" s="23"/>
      <c r="F45" s="28"/>
      <c r="G45" s="51"/>
      <c r="H45" s="51"/>
      <c r="I45" s="51"/>
    </row>
    <row r="46" spans="1:9" ht="12.75">
      <c r="A46" s="58"/>
      <c r="B46" s="59"/>
      <c r="C46" s="60"/>
      <c r="D46" s="61"/>
      <c r="E46" s="23"/>
      <c r="F46" s="60"/>
      <c r="G46" s="69"/>
      <c r="H46" s="70"/>
      <c r="I46" s="70"/>
    </row>
    <row r="47" spans="1:9" ht="12.75">
      <c r="A47" s="24" t="s">
        <v>173</v>
      </c>
      <c r="B47" s="25"/>
      <c r="C47" s="136" t="s">
        <v>227</v>
      </c>
      <c r="D47" s="71"/>
      <c r="E47" s="71"/>
      <c r="F47" s="71"/>
      <c r="G47" s="71"/>
      <c r="H47" s="71"/>
      <c r="I47" s="71"/>
    </row>
    <row r="48" spans="1:9" ht="12.75">
      <c r="A48" s="21"/>
      <c r="B48" s="22"/>
      <c r="C48" s="138" t="s">
        <v>174</v>
      </c>
      <c r="D48" s="23"/>
      <c r="E48" s="23"/>
      <c r="F48" s="23"/>
      <c r="G48" s="23"/>
      <c r="H48" s="23"/>
      <c r="I48" s="23"/>
    </row>
    <row r="49" spans="1:9" ht="12.75">
      <c r="A49" s="24" t="s">
        <v>175</v>
      </c>
      <c r="B49" s="25"/>
      <c r="C49" s="149" t="s">
        <v>228</v>
      </c>
      <c r="D49" s="73"/>
      <c r="E49" s="74"/>
      <c r="F49" s="23"/>
      <c r="G49" s="75" t="s">
        <v>176</v>
      </c>
      <c r="H49" s="72"/>
      <c r="I49" s="73"/>
    </row>
    <row r="50" spans="1:9" ht="12.75">
      <c r="A50" s="21"/>
      <c r="B50" s="22"/>
      <c r="C50" s="138"/>
      <c r="D50" s="23"/>
      <c r="E50" s="23"/>
      <c r="F50" s="23"/>
      <c r="G50" s="23"/>
      <c r="H50" s="23"/>
      <c r="I50" s="23"/>
    </row>
    <row r="51" spans="1:9" ht="12.75">
      <c r="A51" s="24" t="s">
        <v>162</v>
      </c>
      <c r="B51" s="25"/>
      <c r="C51" s="150" t="s">
        <v>239</v>
      </c>
      <c r="D51" s="73"/>
      <c r="E51" s="73"/>
      <c r="F51" s="73"/>
      <c r="G51" s="73"/>
      <c r="H51" s="73"/>
      <c r="I51" s="73"/>
    </row>
    <row r="52" spans="1:9" ht="12.75">
      <c r="A52" s="21"/>
      <c r="B52" s="22"/>
      <c r="C52" s="134"/>
      <c r="D52" s="23"/>
      <c r="E52" s="23"/>
      <c r="F52" s="23"/>
      <c r="G52" s="23"/>
      <c r="H52" s="23"/>
      <c r="I52" s="23"/>
    </row>
    <row r="53" spans="1:9" ht="12.75">
      <c r="A53" s="16" t="s">
        <v>177</v>
      </c>
      <c r="B53" s="17"/>
      <c r="C53" s="149" t="s">
        <v>236</v>
      </c>
      <c r="D53" s="73"/>
      <c r="E53" s="73"/>
      <c r="F53" s="73"/>
      <c r="G53" s="73"/>
      <c r="H53" s="73"/>
      <c r="I53" s="76"/>
    </row>
    <row r="54" spans="1:9" ht="12.75">
      <c r="A54" s="14"/>
      <c r="B54" s="14"/>
      <c r="C54" s="77" t="s">
        <v>178</v>
      </c>
      <c r="D54" s="78"/>
      <c r="E54" s="78"/>
      <c r="F54" s="78"/>
      <c r="G54" s="78"/>
      <c r="H54" s="78"/>
      <c r="I54" s="11"/>
    </row>
    <row r="55" spans="1:9" ht="12.75">
      <c r="A55" s="14"/>
      <c r="B55" s="14"/>
      <c r="C55" s="77"/>
      <c r="D55" s="78"/>
      <c r="E55" s="78"/>
      <c r="F55" s="78"/>
      <c r="G55" s="78"/>
      <c r="H55" s="78"/>
      <c r="I55" s="11"/>
    </row>
    <row r="56" spans="1:9" ht="12.75">
      <c r="A56" s="14"/>
      <c r="B56" s="174" t="s">
        <v>179</v>
      </c>
      <c r="C56" s="175"/>
      <c r="D56" s="175"/>
      <c r="E56" s="175"/>
      <c r="F56" s="126"/>
      <c r="G56" s="126"/>
      <c r="H56" s="127"/>
      <c r="I56" s="127"/>
    </row>
    <row r="57" spans="1:9" ht="12.75">
      <c r="A57" s="14"/>
      <c r="B57" s="128" t="s">
        <v>218</v>
      </c>
      <c r="C57" s="129"/>
      <c r="D57" s="129"/>
      <c r="E57" s="129"/>
      <c r="F57" s="129"/>
      <c r="G57" s="129"/>
      <c r="H57" s="162" t="s">
        <v>213</v>
      </c>
      <c r="I57" s="162"/>
    </row>
    <row r="58" spans="1:9" ht="12.75">
      <c r="A58" s="14"/>
      <c r="B58" s="128" t="s">
        <v>214</v>
      </c>
      <c r="C58" s="129"/>
      <c r="D58" s="129"/>
      <c r="E58" s="129"/>
      <c r="F58" s="129"/>
      <c r="G58" s="129"/>
      <c r="H58" s="162"/>
      <c r="I58" s="162"/>
    </row>
    <row r="59" spans="1:9" ht="12.75">
      <c r="A59" s="14"/>
      <c r="B59" s="128" t="s">
        <v>215</v>
      </c>
      <c r="C59" s="129"/>
      <c r="D59" s="129"/>
      <c r="E59" s="129"/>
      <c r="F59" s="129"/>
      <c r="G59" s="129"/>
      <c r="H59" s="162"/>
      <c r="I59" s="162"/>
    </row>
    <row r="60" spans="1:9" ht="12.75">
      <c r="A60" s="14"/>
      <c r="B60" s="128" t="s">
        <v>216</v>
      </c>
      <c r="C60" s="130"/>
      <c r="D60" s="130"/>
      <c r="E60" s="130"/>
      <c r="F60" s="130"/>
      <c r="G60" s="130"/>
      <c r="H60" s="162"/>
      <c r="I60" s="162"/>
    </row>
    <row r="61" spans="1:9" ht="12.75">
      <c r="A61" s="14"/>
      <c r="B61" s="128" t="s">
        <v>217</v>
      </c>
      <c r="C61" s="130"/>
      <c r="D61" s="130"/>
      <c r="E61" s="130"/>
      <c r="F61" s="130"/>
      <c r="G61" s="130"/>
      <c r="H61" s="162"/>
      <c r="I61" s="162"/>
    </row>
    <row r="62" spans="1:9" ht="12.75">
      <c r="A62" s="79" t="s">
        <v>180</v>
      </c>
      <c r="B62" s="80"/>
      <c r="C62" s="81"/>
      <c r="D62" s="82"/>
      <c r="E62" s="82"/>
      <c r="F62" s="82"/>
      <c r="G62" s="82"/>
      <c r="H62" s="82"/>
      <c r="I62" s="82"/>
    </row>
    <row r="63" spans="1:9" ht="12.75">
      <c r="A63" s="83"/>
      <c r="B63" s="23"/>
      <c r="C63" s="23"/>
      <c r="D63" s="23"/>
      <c r="E63" s="14"/>
      <c r="F63" s="5"/>
      <c r="G63" s="84"/>
      <c r="H63" s="85"/>
      <c r="I63" s="86"/>
    </row>
    <row r="64" spans="1:9" ht="12.75">
      <c r="A64" s="87"/>
      <c r="B64" s="88"/>
      <c r="C64" s="49"/>
      <c r="D64" s="49"/>
      <c r="E64" s="49"/>
      <c r="F64" s="49"/>
      <c r="G64" s="89"/>
      <c r="H64" s="90"/>
      <c r="I64" s="49"/>
    </row>
    <row r="65" spans="1:9" ht="13.5" thickBot="1">
      <c r="A65" s="79" t="s">
        <v>180</v>
      </c>
      <c r="B65" s="23"/>
      <c r="C65" s="23"/>
      <c r="D65" s="23"/>
      <c r="E65" s="23"/>
      <c r="F65" s="23"/>
      <c r="G65" s="91"/>
      <c r="H65" s="92"/>
      <c r="I65" s="91"/>
    </row>
    <row r="66" spans="1:9" ht="12.75">
      <c r="A66" s="14"/>
      <c r="B66" s="23"/>
      <c r="C66" s="23"/>
      <c r="D66" s="23"/>
      <c r="E66" s="14" t="s">
        <v>181</v>
      </c>
      <c r="F66" s="5"/>
      <c r="G66" s="171" t="s">
        <v>182</v>
      </c>
      <c r="H66" s="172"/>
      <c r="I66" s="173"/>
    </row>
    <row r="67" spans="1:9" ht="12.75">
      <c r="A67" s="87"/>
      <c r="B67" s="88"/>
      <c r="C67" s="49"/>
      <c r="D67" s="49"/>
      <c r="E67" s="49"/>
      <c r="F67" s="49"/>
      <c r="G67" s="164"/>
      <c r="H67" s="165"/>
      <c r="I67" s="49"/>
    </row>
  </sheetData>
  <sheetProtection/>
  <mergeCells count="8">
    <mergeCell ref="H57:I61"/>
    <mergeCell ref="A1:D1"/>
    <mergeCell ref="G67:H67"/>
    <mergeCell ref="A3:D3"/>
    <mergeCell ref="A5:I5"/>
    <mergeCell ref="B6:H6"/>
    <mergeCell ref="G66:I66"/>
    <mergeCell ref="B56:E5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51" r:id="rId1" display="vesna@pentagram.hr"/>
    <hyperlink ref="C19" r:id="rId2" display="auctorinvest@auctorinvest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1">
      <selection activeCell="B9" sqref="B9"/>
    </sheetView>
  </sheetViews>
  <sheetFormatPr defaultColWidth="9.140625" defaultRowHeight="12.75"/>
  <cols>
    <col min="1" max="1" width="28.421875" style="104" customWidth="1"/>
    <col min="2" max="2" width="74.8515625" style="104" customWidth="1"/>
    <col min="3" max="3" width="8.421875" style="97" customWidth="1"/>
    <col min="4" max="5" width="25.28125" style="104" customWidth="1"/>
    <col min="6" max="6" width="18.7109375" style="104" customWidth="1"/>
    <col min="7" max="7" width="15.7109375" style="104" bestFit="1" customWidth="1"/>
    <col min="8" max="8" width="17.421875" style="103" bestFit="1" customWidth="1"/>
    <col min="9" max="16384" width="9.140625" style="104" customWidth="1"/>
  </cols>
  <sheetData>
    <row r="1" spans="1:7" s="97" customFormat="1" ht="14.25" customHeight="1">
      <c r="A1" s="93"/>
      <c r="B1" s="93"/>
      <c r="C1" s="94"/>
      <c r="D1" s="93"/>
      <c r="E1" s="95" t="s">
        <v>45</v>
      </c>
      <c r="G1" s="98"/>
    </row>
    <row r="2" spans="1:7" s="97" customFormat="1" ht="24" customHeight="1">
      <c r="A2" s="177" t="s">
        <v>44</v>
      </c>
      <c r="B2" s="177"/>
      <c r="C2" s="177"/>
      <c r="D2" s="177"/>
      <c r="E2" s="177"/>
      <c r="G2" s="98"/>
    </row>
    <row r="3" spans="1:7" s="97" customFormat="1" ht="22.5" customHeight="1">
      <c r="A3" s="178" t="s">
        <v>233</v>
      </c>
      <c r="B3" s="178"/>
      <c r="C3" s="178"/>
      <c r="D3" s="178"/>
      <c r="E3" s="93"/>
      <c r="G3" s="98"/>
    </row>
    <row r="4" spans="1:6" s="97" customFormat="1" ht="22.5" customHeight="1">
      <c r="A4" s="178" t="s">
        <v>229</v>
      </c>
      <c r="B4" s="178"/>
      <c r="C4" s="178"/>
      <c r="D4" s="178"/>
      <c r="F4" s="98"/>
    </row>
    <row r="5" spans="1:7" s="97" customFormat="1" ht="22.5" customHeight="1">
      <c r="A5" s="178" t="s">
        <v>237</v>
      </c>
      <c r="B5" s="178"/>
      <c r="C5" s="178"/>
      <c r="D5" s="178"/>
      <c r="E5" s="93"/>
      <c r="G5" s="98"/>
    </row>
    <row r="6" spans="1:5" s="97" customFormat="1" ht="22.5" customHeight="1">
      <c r="A6" s="176" t="s">
        <v>234</v>
      </c>
      <c r="B6" s="176"/>
      <c r="C6" s="176"/>
      <c r="D6" s="176"/>
      <c r="E6" s="176"/>
    </row>
    <row r="7" spans="1:7" s="97" customFormat="1" ht="24" customHeight="1">
      <c r="A7" s="93"/>
      <c r="B7" s="93"/>
      <c r="C7" s="94"/>
      <c r="D7" s="93"/>
      <c r="E7" s="100" t="s">
        <v>183</v>
      </c>
      <c r="G7" s="98"/>
    </row>
    <row r="8" spans="1:8" ht="51" customHeight="1">
      <c r="A8" s="101" t="s">
        <v>98</v>
      </c>
      <c r="B8" s="101" t="s">
        <v>6</v>
      </c>
      <c r="C8" s="101" t="s">
        <v>50</v>
      </c>
      <c r="D8" s="101" t="s">
        <v>53</v>
      </c>
      <c r="E8" s="101" t="s">
        <v>99</v>
      </c>
      <c r="F8" s="102"/>
      <c r="G8" s="103"/>
      <c r="H8" s="104"/>
    </row>
    <row r="9" spans="1:8" ht="33" customHeight="1">
      <c r="A9" s="105"/>
      <c r="B9" s="106" t="s">
        <v>186</v>
      </c>
      <c r="C9" s="105">
        <v>1</v>
      </c>
      <c r="D9" s="151">
        <f>+D10+D11</f>
        <v>156468927.26999998</v>
      </c>
      <c r="E9" s="151">
        <f>+E10+E11</f>
        <v>170082092.59</v>
      </c>
      <c r="G9" s="103"/>
      <c r="H9" s="104"/>
    </row>
    <row r="10" spans="1:8" ht="27" customHeight="1">
      <c r="A10" s="105">
        <v>10</v>
      </c>
      <c r="B10" s="108" t="s">
        <v>27</v>
      </c>
      <c r="C10" s="105">
        <v>2</v>
      </c>
      <c r="D10" s="151">
        <f>859.62+857.18+2369855.77+4230251.54</f>
        <v>6601824.109999999</v>
      </c>
      <c r="E10" s="151">
        <f>859.62+88.12+458561.65+1032663.44</f>
        <v>1492172.83</v>
      </c>
      <c r="G10" s="103"/>
      <c r="H10" s="104"/>
    </row>
    <row r="11" spans="1:8" ht="33" customHeight="1">
      <c r="A11" s="105"/>
      <c r="B11" s="109" t="s">
        <v>187</v>
      </c>
      <c r="C11" s="105">
        <v>3</v>
      </c>
      <c r="D11" s="151">
        <f>+D12+D13+D14+D15</f>
        <v>149867103.16</v>
      </c>
      <c r="E11" s="151">
        <f>+E12+E13+E14+E15</f>
        <v>168589919.76</v>
      </c>
      <c r="G11" s="103"/>
      <c r="H11" s="104"/>
    </row>
    <row r="12" spans="1:8" ht="27" customHeight="1">
      <c r="A12" s="105" t="s">
        <v>46</v>
      </c>
      <c r="B12" s="108" t="s">
        <v>115</v>
      </c>
      <c r="C12" s="105">
        <v>4</v>
      </c>
      <c r="D12" s="151"/>
      <c r="E12" s="151"/>
      <c r="G12" s="103"/>
      <c r="H12" s="104"/>
    </row>
    <row r="13" spans="1:8" ht="27" customHeight="1">
      <c r="A13" s="105" t="s">
        <v>47</v>
      </c>
      <c r="B13" s="108" t="s">
        <v>100</v>
      </c>
      <c r="C13" s="105">
        <v>5</v>
      </c>
      <c r="D13" s="151">
        <v>149867103.16</v>
      </c>
      <c r="E13" s="151">
        <v>168589919.76</v>
      </c>
      <c r="H13" s="104"/>
    </row>
    <row r="14" spans="1:8" ht="27" customHeight="1">
      <c r="A14" s="105" t="s">
        <v>48</v>
      </c>
      <c r="B14" s="108" t="s">
        <v>101</v>
      </c>
      <c r="C14" s="105">
        <v>6</v>
      </c>
      <c r="D14" s="151"/>
      <c r="E14" s="151"/>
      <c r="G14" s="103"/>
      <c r="H14" s="104"/>
    </row>
    <row r="15" spans="1:8" ht="27" customHeight="1">
      <c r="A15" s="105" t="s">
        <v>49</v>
      </c>
      <c r="B15" s="108" t="s">
        <v>102</v>
      </c>
      <c r="C15" s="105">
        <v>7</v>
      </c>
      <c r="D15" s="151"/>
      <c r="E15" s="151"/>
      <c r="G15" s="103"/>
      <c r="H15" s="104"/>
    </row>
    <row r="16" spans="1:8" ht="31.5" customHeight="1">
      <c r="A16" s="105"/>
      <c r="B16" s="106" t="s">
        <v>188</v>
      </c>
      <c r="C16" s="105">
        <v>8</v>
      </c>
      <c r="D16" s="151">
        <f>+SUM(D17:D24)</f>
        <v>2120924.6</v>
      </c>
      <c r="E16" s="151">
        <f>+SUM(E17:E24)</f>
        <v>1181439.42</v>
      </c>
      <c r="F16" s="110"/>
      <c r="G16" s="103"/>
      <c r="H16" s="104"/>
    </row>
    <row r="17" spans="1:8" ht="27" customHeight="1">
      <c r="A17" s="105" t="s">
        <v>103</v>
      </c>
      <c r="B17" s="108" t="s">
        <v>1</v>
      </c>
      <c r="C17" s="105">
        <v>9</v>
      </c>
      <c r="D17" s="151">
        <v>1495500</v>
      </c>
      <c r="E17" s="151">
        <v>628731.63</v>
      </c>
      <c r="G17" s="103"/>
      <c r="H17" s="104"/>
    </row>
    <row r="18" spans="1:8" ht="27" customHeight="1">
      <c r="A18" s="105">
        <v>13</v>
      </c>
      <c r="B18" s="108" t="s">
        <v>51</v>
      </c>
      <c r="C18" s="105">
        <v>10</v>
      </c>
      <c r="D18" s="151">
        <v>0</v>
      </c>
      <c r="E18" s="151">
        <v>0</v>
      </c>
      <c r="G18" s="103"/>
      <c r="H18" s="104"/>
    </row>
    <row r="19" spans="1:8" ht="27" customHeight="1">
      <c r="A19" s="105">
        <v>14</v>
      </c>
      <c r="B19" s="108" t="s">
        <v>33</v>
      </c>
      <c r="C19" s="105">
        <v>11</v>
      </c>
      <c r="D19" s="151">
        <v>0</v>
      </c>
      <c r="E19" s="151">
        <v>0</v>
      </c>
      <c r="G19" s="103"/>
      <c r="H19" s="104"/>
    </row>
    <row r="20" spans="1:8" ht="27" customHeight="1">
      <c r="A20" s="105">
        <v>15</v>
      </c>
      <c r="B20" s="108" t="s">
        <v>36</v>
      </c>
      <c r="C20" s="105">
        <v>12</v>
      </c>
      <c r="D20" s="151">
        <v>0</v>
      </c>
      <c r="E20" s="151">
        <v>0</v>
      </c>
      <c r="G20" s="103"/>
      <c r="H20" s="104"/>
    </row>
    <row r="21" spans="1:8" ht="27" customHeight="1">
      <c r="A21" s="105">
        <v>16</v>
      </c>
      <c r="B21" s="108" t="s">
        <v>37</v>
      </c>
      <c r="C21" s="105">
        <v>13</v>
      </c>
      <c r="D21" s="151">
        <v>0</v>
      </c>
      <c r="E21" s="151">
        <v>0</v>
      </c>
      <c r="H21" s="104"/>
    </row>
    <row r="22" spans="1:8" ht="27" customHeight="1">
      <c r="A22" s="105">
        <v>17</v>
      </c>
      <c r="B22" s="108" t="s">
        <v>104</v>
      </c>
      <c r="C22" s="105">
        <v>14</v>
      </c>
      <c r="D22" s="151">
        <f>45835.07+159829.18+7000</f>
        <v>212664.25</v>
      </c>
      <c r="E22" s="151">
        <f>45835.07+85994.46</f>
        <v>131829.53</v>
      </c>
      <c r="G22" s="103"/>
      <c r="H22" s="104"/>
    </row>
    <row r="23" spans="1:8" ht="27" customHeight="1">
      <c r="A23" s="105">
        <v>18</v>
      </c>
      <c r="B23" s="108" t="s">
        <v>28</v>
      </c>
      <c r="C23" s="105">
        <v>15</v>
      </c>
      <c r="D23" s="151">
        <f>412760.35</f>
        <v>412760.35</v>
      </c>
      <c r="E23" s="151">
        <v>420878.26</v>
      </c>
      <c r="G23" s="103"/>
      <c r="H23" s="104"/>
    </row>
    <row r="24" spans="1:8" ht="27" customHeight="1">
      <c r="A24" s="105">
        <v>19</v>
      </c>
      <c r="B24" s="108" t="s">
        <v>94</v>
      </c>
      <c r="C24" s="105">
        <v>16</v>
      </c>
      <c r="D24" s="151"/>
      <c r="E24" s="151"/>
      <c r="G24" s="103"/>
      <c r="H24" s="104"/>
    </row>
    <row r="25" spans="1:8" ht="30.75" customHeight="1">
      <c r="A25" s="111"/>
      <c r="B25" s="106" t="s">
        <v>189</v>
      </c>
      <c r="C25" s="105">
        <v>17</v>
      </c>
      <c r="D25" s="151">
        <f>+D9+D16</f>
        <v>158589851.86999997</v>
      </c>
      <c r="E25" s="151">
        <f>+E9+E16</f>
        <v>171263532.01</v>
      </c>
      <c r="G25" s="103"/>
      <c r="H25" s="104"/>
    </row>
    <row r="26" spans="1:8" ht="27" customHeight="1">
      <c r="A26" s="105" t="s">
        <v>52</v>
      </c>
      <c r="B26" s="107" t="s">
        <v>26</v>
      </c>
      <c r="C26" s="105">
        <v>18</v>
      </c>
      <c r="D26" s="151"/>
      <c r="E26" s="151"/>
      <c r="G26" s="103"/>
      <c r="H26" s="104"/>
    </row>
    <row r="27" spans="1:8" ht="10.5" customHeight="1">
      <c r="A27" s="111"/>
      <c r="B27" s="107"/>
      <c r="C27" s="105"/>
      <c r="D27" s="151"/>
      <c r="E27" s="151"/>
      <c r="G27" s="103"/>
      <c r="H27" s="104"/>
    </row>
    <row r="28" spans="1:8" ht="31.5" customHeight="1">
      <c r="A28" s="105"/>
      <c r="B28" s="106" t="s">
        <v>190</v>
      </c>
      <c r="C28" s="105">
        <v>19</v>
      </c>
      <c r="D28" s="151">
        <f>+D29+D30</f>
        <v>54063.64</v>
      </c>
      <c r="E28" s="151">
        <f>+E29+E30</f>
        <v>2404.41</v>
      </c>
      <c r="G28" s="103"/>
      <c r="H28" s="104"/>
    </row>
    <row r="29" spans="1:5" ht="27" customHeight="1">
      <c r="A29" s="105" t="s">
        <v>105</v>
      </c>
      <c r="B29" s="108" t="s">
        <v>34</v>
      </c>
      <c r="C29" s="105">
        <v>20</v>
      </c>
      <c r="D29" s="151">
        <f>52722.19+1341.45</f>
        <v>54063.64</v>
      </c>
      <c r="E29" s="151">
        <f>1600.76+803.65</f>
        <v>2404.41</v>
      </c>
    </row>
    <row r="30" spans="1:6" ht="27" customHeight="1">
      <c r="A30" s="105">
        <v>22</v>
      </c>
      <c r="B30" s="109" t="s">
        <v>106</v>
      </c>
      <c r="C30" s="105">
        <v>21</v>
      </c>
      <c r="D30" s="151"/>
      <c r="E30" s="151"/>
      <c r="F30" s="103"/>
    </row>
    <row r="31" spans="1:5" ht="31.5" customHeight="1">
      <c r="A31" s="105"/>
      <c r="B31" s="106" t="s">
        <v>191</v>
      </c>
      <c r="C31" s="105">
        <v>22</v>
      </c>
      <c r="D31" s="151">
        <f>+SUM(D32:D38)</f>
        <v>2068261.8900000001</v>
      </c>
      <c r="E31" s="151">
        <f>+SUM(E32:E38)</f>
        <v>2380864.5100000002</v>
      </c>
    </row>
    <row r="32" spans="1:5" ht="27" customHeight="1">
      <c r="A32" s="105">
        <v>23</v>
      </c>
      <c r="B32" s="108" t="s">
        <v>2</v>
      </c>
      <c r="C32" s="105">
        <v>23</v>
      </c>
      <c r="D32" s="151">
        <f>-237000+416338.07</f>
        <v>179338.07</v>
      </c>
      <c r="E32" s="151">
        <f>310817.52+335000</f>
        <v>645817.52</v>
      </c>
    </row>
    <row r="33" spans="1:5" ht="27" customHeight="1">
      <c r="A33" s="105">
        <v>24</v>
      </c>
      <c r="B33" s="108" t="s">
        <v>38</v>
      </c>
      <c r="C33" s="105">
        <v>24</v>
      </c>
      <c r="D33" s="151">
        <f>13211.32</f>
        <v>13211.32</v>
      </c>
      <c r="E33" s="151">
        <f>15805.62-803.65+14271.76</f>
        <v>29273.730000000003</v>
      </c>
    </row>
    <row r="34" spans="1:5" ht="27" customHeight="1">
      <c r="A34" s="105">
        <v>25</v>
      </c>
      <c r="B34" s="108" t="s">
        <v>39</v>
      </c>
      <c r="C34" s="105">
        <v>25</v>
      </c>
      <c r="D34" s="151">
        <v>0</v>
      </c>
      <c r="E34" s="151">
        <f>2490.02+590.4+316.6+36469.5+19.44+2638.1</f>
        <v>42524.06</v>
      </c>
    </row>
    <row r="35" spans="1:5" ht="27" customHeight="1">
      <c r="A35" s="105">
        <v>26</v>
      </c>
      <c r="B35" s="108" t="s">
        <v>107</v>
      </c>
      <c r="C35" s="105">
        <v>26</v>
      </c>
      <c r="D35" s="151">
        <v>1864240</v>
      </c>
      <c r="E35" s="151">
        <v>1652630</v>
      </c>
    </row>
    <row r="36" spans="1:5" ht="27" customHeight="1">
      <c r="A36" s="105">
        <v>27</v>
      </c>
      <c r="B36" s="108" t="s">
        <v>40</v>
      </c>
      <c r="C36" s="105">
        <v>27</v>
      </c>
      <c r="D36" s="151">
        <f>2593.18+398.28+8481.04</f>
        <v>11472.5</v>
      </c>
      <c r="E36" s="151">
        <f>775.41+9843.79</f>
        <v>10619.2</v>
      </c>
    </row>
    <row r="37" spans="1:5" ht="27" customHeight="1">
      <c r="A37" s="105">
        <v>28</v>
      </c>
      <c r="B37" s="108" t="s">
        <v>41</v>
      </c>
      <c r="C37" s="105">
        <v>28</v>
      </c>
      <c r="D37" s="151"/>
      <c r="E37" s="151"/>
    </row>
    <row r="38" spans="1:5" ht="27" customHeight="1">
      <c r="A38" s="105">
        <v>29</v>
      </c>
      <c r="B38" s="108" t="s">
        <v>95</v>
      </c>
      <c r="C38" s="105">
        <v>29</v>
      </c>
      <c r="D38" s="154"/>
      <c r="E38" s="154"/>
    </row>
    <row r="39" spans="1:5" ht="32.25" customHeight="1">
      <c r="A39" s="111"/>
      <c r="B39" s="106" t="s">
        <v>192</v>
      </c>
      <c r="C39" s="105">
        <v>30</v>
      </c>
      <c r="D39" s="151">
        <f>+D28+D31</f>
        <v>2122325.5300000003</v>
      </c>
      <c r="E39" s="151">
        <f>+E28+E31</f>
        <v>2383268.9200000004</v>
      </c>
    </row>
    <row r="40" spans="1:5" ht="9.75" customHeight="1">
      <c r="A40" s="105"/>
      <c r="B40" s="108"/>
      <c r="C40" s="105"/>
      <c r="D40" s="154"/>
      <c r="E40" s="154"/>
    </row>
    <row r="41" spans="1:5" ht="31.5" customHeight="1">
      <c r="A41" s="111"/>
      <c r="B41" s="106" t="s">
        <v>193</v>
      </c>
      <c r="C41" s="105">
        <v>31</v>
      </c>
      <c r="D41" s="151">
        <f>+D25-D39</f>
        <v>156467526.33999997</v>
      </c>
      <c r="E41" s="151">
        <f>+E25-E39</f>
        <v>168880263.09</v>
      </c>
    </row>
    <row r="42" spans="1:5" ht="11.25" customHeight="1">
      <c r="A42" s="105"/>
      <c r="B42" s="108"/>
      <c r="C42" s="105"/>
      <c r="D42" s="154"/>
      <c r="E42" s="154"/>
    </row>
    <row r="43" spans="1:5" ht="27" customHeight="1">
      <c r="A43" s="111"/>
      <c r="B43" s="107" t="s">
        <v>108</v>
      </c>
      <c r="C43" s="105">
        <v>32</v>
      </c>
      <c r="D43" s="151">
        <v>3346418</v>
      </c>
      <c r="E43" s="151">
        <v>3346418</v>
      </c>
    </row>
    <row r="44" spans="1:5" ht="9.75" customHeight="1">
      <c r="A44" s="105"/>
      <c r="B44" s="108"/>
      <c r="C44" s="105"/>
      <c r="D44" s="154"/>
      <c r="E44" s="154"/>
    </row>
    <row r="45" spans="1:5" ht="31.5" customHeight="1">
      <c r="A45" s="111"/>
      <c r="B45" s="106" t="s">
        <v>194</v>
      </c>
      <c r="C45" s="105">
        <v>33</v>
      </c>
      <c r="D45" s="155">
        <f>+D41/D43</f>
        <v>46.75671907693539</v>
      </c>
      <c r="E45" s="155">
        <f>+E41/E43</f>
        <v>50.4659797700108</v>
      </c>
    </row>
    <row r="46" spans="1:5" ht="12" customHeight="1">
      <c r="A46" s="105"/>
      <c r="B46" s="108"/>
      <c r="C46" s="105"/>
      <c r="D46" s="154"/>
      <c r="E46" s="154"/>
    </row>
    <row r="47" spans="1:5" ht="27" customHeight="1">
      <c r="A47" s="105"/>
      <c r="B47" s="107" t="s">
        <v>109</v>
      </c>
      <c r="C47" s="105">
        <v>34</v>
      </c>
      <c r="D47" s="154"/>
      <c r="E47" s="154"/>
    </row>
    <row r="48" spans="1:5" ht="27" customHeight="1">
      <c r="A48" s="105">
        <v>90</v>
      </c>
      <c r="B48" s="108" t="s">
        <v>110</v>
      </c>
      <c r="C48" s="105">
        <v>35</v>
      </c>
      <c r="D48" s="151">
        <v>301177620</v>
      </c>
      <c r="E48" s="151">
        <v>301177620</v>
      </c>
    </row>
    <row r="49" spans="1:5" ht="27" customHeight="1">
      <c r="A49" s="105">
        <v>91</v>
      </c>
      <c r="B49" s="108" t="s">
        <v>111</v>
      </c>
      <c r="C49" s="105">
        <v>36</v>
      </c>
      <c r="D49" s="151"/>
      <c r="E49" s="151"/>
    </row>
    <row r="50" spans="1:5" ht="27" customHeight="1">
      <c r="A50" s="105">
        <v>92</v>
      </c>
      <c r="B50" s="108" t="s">
        <v>112</v>
      </c>
      <c r="C50" s="105">
        <v>37</v>
      </c>
      <c r="D50" s="151"/>
      <c r="E50" s="151"/>
    </row>
    <row r="51" spans="1:5" ht="27" customHeight="1">
      <c r="A51" s="105">
        <v>93</v>
      </c>
      <c r="B51" s="108" t="s">
        <v>113</v>
      </c>
      <c r="C51" s="105">
        <v>38</v>
      </c>
      <c r="D51" s="151">
        <v>15058881</v>
      </c>
      <c r="E51" s="151">
        <v>15058881</v>
      </c>
    </row>
    <row r="52" spans="1:5" ht="27" customHeight="1">
      <c r="A52" s="105">
        <v>96</v>
      </c>
      <c r="B52" s="108" t="s">
        <v>80</v>
      </c>
      <c r="C52" s="105">
        <v>39</v>
      </c>
      <c r="D52" s="151">
        <f>-93879946.5-41214063.72</f>
        <v>-135094010.22</v>
      </c>
      <c r="E52" s="151">
        <f>-83197652.91-34362464.58+-150108.28+0.01</f>
        <v>-117710225.75999999</v>
      </c>
    </row>
    <row r="53" spans="1:5" ht="27" customHeight="1">
      <c r="A53" s="105">
        <v>97</v>
      </c>
      <c r="B53" s="108" t="s">
        <v>29</v>
      </c>
      <c r="C53" s="105">
        <v>40</v>
      </c>
      <c r="D53" s="151"/>
      <c r="E53" s="151"/>
    </row>
    <row r="54" spans="1:5" ht="27" customHeight="1">
      <c r="A54" s="105">
        <v>95</v>
      </c>
      <c r="B54" s="108" t="s">
        <v>25</v>
      </c>
      <c r="C54" s="105">
        <v>41</v>
      </c>
      <c r="D54" s="151">
        <f>22668.65+8713813.75</f>
        <v>8736482.4</v>
      </c>
      <c r="E54" s="151">
        <f>8713813.75+22668.65-33411446.84</f>
        <v>-24674964.439999998</v>
      </c>
    </row>
    <row r="55" spans="1:5" ht="27" customHeight="1">
      <c r="A55" s="105">
        <v>94</v>
      </c>
      <c r="B55" s="108" t="s">
        <v>114</v>
      </c>
      <c r="C55" s="105">
        <v>42</v>
      </c>
      <c r="D55" s="151">
        <v>-33411446.84</v>
      </c>
      <c r="E55" s="151">
        <v>-4971047.71</v>
      </c>
    </row>
    <row r="56" spans="1:5" ht="30" customHeight="1">
      <c r="A56" s="111"/>
      <c r="B56" s="106" t="s">
        <v>195</v>
      </c>
      <c r="C56" s="105">
        <v>43</v>
      </c>
      <c r="D56" s="151">
        <f>+SUM(D48:D55)</f>
        <v>156467526.34</v>
      </c>
      <c r="E56" s="151">
        <f>+SUM(E48:E55)</f>
        <v>168880263.09</v>
      </c>
    </row>
    <row r="57" spans="1:5" ht="27" customHeight="1">
      <c r="A57" s="105" t="s">
        <v>54</v>
      </c>
      <c r="B57" s="107" t="s">
        <v>35</v>
      </c>
      <c r="C57" s="105">
        <v>44</v>
      </c>
      <c r="D57" s="156"/>
      <c r="E57" s="156"/>
    </row>
    <row r="58" ht="21" customHeight="1">
      <c r="A58" s="99"/>
    </row>
    <row r="59" ht="21" customHeight="1">
      <c r="A59" s="99"/>
    </row>
    <row r="60" ht="21" customHeight="1">
      <c r="A60" s="99"/>
    </row>
    <row r="61" ht="21" customHeight="1">
      <c r="A61" s="99"/>
    </row>
    <row r="62" ht="21" customHeight="1">
      <c r="A62" s="99"/>
    </row>
    <row r="63" ht="21" customHeight="1">
      <c r="A63" s="99"/>
    </row>
    <row r="64" ht="21" customHeight="1">
      <c r="A64" s="99"/>
    </row>
    <row r="65" spans="1:5" ht="21" customHeight="1">
      <c r="A65" s="112"/>
      <c r="B65" s="110"/>
      <c r="C65" s="112"/>
      <c r="D65" s="113"/>
      <c r="E65" s="113"/>
    </row>
    <row r="66" spans="1:5" ht="21" customHeight="1">
      <c r="A66" s="112"/>
      <c r="B66" s="110"/>
      <c r="C66" s="112"/>
      <c r="D66" s="113"/>
      <c r="E66" s="113"/>
    </row>
    <row r="67" spans="1:5" ht="21" customHeight="1">
      <c r="A67" s="112"/>
      <c r="B67" s="110"/>
      <c r="C67" s="112"/>
      <c r="D67" s="113"/>
      <c r="E67" s="113"/>
    </row>
    <row r="68" spans="1:5" ht="21" customHeight="1">
      <c r="A68" s="112"/>
      <c r="B68" s="110"/>
      <c r="C68" s="112"/>
      <c r="D68" s="113"/>
      <c r="E68" s="113"/>
    </row>
    <row r="69" spans="1:5" ht="21" customHeight="1">
      <c r="A69" s="112"/>
      <c r="B69" s="110"/>
      <c r="C69" s="112"/>
      <c r="D69" s="113"/>
      <c r="E69" s="113"/>
    </row>
  </sheetData>
  <sheetProtection/>
  <protectedRanges>
    <protectedRange sqref="A6:E6" name="Range1"/>
    <protectedRange sqref="A3:D5" name="Range1_1"/>
    <protectedRange sqref="D57:E57" name="Range1_3"/>
    <protectedRange sqref="D32:E38 D26:E26 D17:E24 D43:E43 D10:E10 D12:E15 D29:E30 D48:E55" name="Range1_2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1">
      <selection activeCell="D8" sqref="D8:G41"/>
    </sheetView>
  </sheetViews>
  <sheetFormatPr defaultColWidth="9.140625" defaultRowHeight="12.75"/>
  <cols>
    <col min="1" max="1" width="21.00390625" style="104" customWidth="1"/>
    <col min="2" max="2" width="58.57421875" style="104" customWidth="1"/>
    <col min="3" max="3" width="9.57421875" style="97" customWidth="1"/>
    <col min="4" max="5" width="16.28125" style="97" customWidth="1"/>
    <col min="6" max="6" width="16.28125" style="104" customWidth="1"/>
    <col min="7" max="7" width="16.28125" style="103" customWidth="1"/>
    <col min="8" max="16384" width="9.140625" style="104" customWidth="1"/>
  </cols>
  <sheetData>
    <row r="1" spans="1:7" s="97" customFormat="1" ht="15.75" customHeight="1">
      <c r="A1" s="113"/>
      <c r="B1" s="113"/>
      <c r="C1" s="96"/>
      <c r="D1" s="96"/>
      <c r="E1" s="96"/>
      <c r="F1" s="113"/>
      <c r="G1" s="114" t="s">
        <v>55</v>
      </c>
    </row>
    <row r="2" spans="1:7" s="97" customFormat="1" ht="24" customHeight="1">
      <c r="A2" s="179" t="s">
        <v>56</v>
      </c>
      <c r="B2" s="179"/>
      <c r="C2" s="179"/>
      <c r="D2" s="179"/>
      <c r="E2" s="179"/>
      <c r="F2" s="179"/>
      <c r="G2" s="179"/>
    </row>
    <row r="3" spans="1:7" s="97" customFormat="1" ht="21" customHeight="1">
      <c r="A3" s="180" t="s">
        <v>233</v>
      </c>
      <c r="B3" s="180"/>
      <c r="C3" s="180"/>
      <c r="D3" s="180"/>
      <c r="E3" s="180"/>
      <c r="F3" s="180"/>
      <c r="G3" s="180"/>
    </row>
    <row r="4" spans="1:7" s="97" customFormat="1" ht="21" customHeight="1">
      <c r="A4" s="180" t="s">
        <v>230</v>
      </c>
      <c r="B4" s="180"/>
      <c r="C4" s="180"/>
      <c r="D4" s="180"/>
      <c r="E4" s="180"/>
      <c r="F4" s="180"/>
      <c r="G4" s="180"/>
    </row>
    <row r="5" spans="1:7" s="97" customFormat="1" ht="21" customHeight="1">
      <c r="A5" s="181" t="s">
        <v>234</v>
      </c>
      <c r="B5" s="181"/>
      <c r="C5" s="181"/>
      <c r="D5" s="181"/>
      <c r="E5" s="181"/>
      <c r="F5" s="181"/>
      <c r="G5" s="181"/>
    </row>
    <row r="6" spans="1:7" s="97" customFormat="1" ht="19.5" customHeight="1">
      <c r="A6" s="113"/>
      <c r="B6" s="113"/>
      <c r="C6" s="96"/>
      <c r="D6" s="96"/>
      <c r="E6" s="96"/>
      <c r="F6" s="113"/>
      <c r="G6" s="115" t="s">
        <v>183</v>
      </c>
    </row>
    <row r="7" spans="1:7" ht="37.5" customHeight="1">
      <c r="A7" s="182" t="s">
        <v>0</v>
      </c>
      <c r="B7" s="182" t="s">
        <v>22</v>
      </c>
      <c r="C7" s="182" t="s">
        <v>50</v>
      </c>
      <c r="D7" s="182" t="s">
        <v>57</v>
      </c>
      <c r="E7" s="182"/>
      <c r="F7" s="182" t="s">
        <v>60</v>
      </c>
      <c r="G7" s="182"/>
    </row>
    <row r="8" spans="1:7" ht="37.5" customHeight="1">
      <c r="A8" s="182"/>
      <c r="B8" s="182"/>
      <c r="C8" s="182"/>
      <c r="D8" s="116" t="s">
        <v>116</v>
      </c>
      <c r="E8" s="116" t="s">
        <v>117</v>
      </c>
      <c r="F8" s="116" t="s">
        <v>116</v>
      </c>
      <c r="G8" s="116" t="s">
        <v>117</v>
      </c>
    </row>
    <row r="9" spans="1:7" ht="32.25" customHeight="1">
      <c r="A9" s="116"/>
      <c r="B9" s="106" t="s">
        <v>3</v>
      </c>
      <c r="C9" s="116">
        <v>45</v>
      </c>
      <c r="D9" s="157"/>
      <c r="E9" s="157"/>
      <c r="F9" s="152"/>
      <c r="G9" s="152"/>
    </row>
    <row r="10" spans="1:7" ht="24" customHeight="1">
      <c r="A10" s="116">
        <v>73</v>
      </c>
      <c r="B10" s="109" t="s">
        <v>118</v>
      </c>
      <c r="C10" s="116">
        <v>46</v>
      </c>
      <c r="D10" s="152">
        <f>7733363.87+2643951.95+184172.97</f>
        <v>10561488.790000001</v>
      </c>
      <c r="E10" s="152">
        <f>7733363.87+2643951.95+184172.97-8064810</f>
        <v>2496678.790000001</v>
      </c>
      <c r="F10" s="152">
        <f>14155754.33+466915.55+6.75</f>
        <v>14622676.63</v>
      </c>
      <c r="G10" s="152">
        <f>14622677-13516909</f>
        <v>1105768</v>
      </c>
    </row>
    <row r="11" spans="1:7" ht="24" customHeight="1">
      <c r="A11" s="116">
        <v>70</v>
      </c>
      <c r="B11" s="109" t="s">
        <v>58</v>
      </c>
      <c r="C11" s="116">
        <v>47</v>
      </c>
      <c r="D11" s="152">
        <f>85723.86+128060.39+387074.16</f>
        <v>600858.4099999999</v>
      </c>
      <c r="E11" s="152">
        <f>85723.86+128060.39+387074.16-549696</f>
        <v>51162.409999999916</v>
      </c>
      <c r="F11" s="152">
        <f>25411.39+8236.34+155111.88+1109683.28</f>
        <v>1298442.8900000001</v>
      </c>
      <c r="G11" s="152">
        <f>1298443-691512</f>
        <v>606931</v>
      </c>
    </row>
    <row r="12" spans="1:7" ht="33.75" customHeight="1">
      <c r="A12" s="116" t="s">
        <v>119</v>
      </c>
      <c r="B12" s="109" t="s">
        <v>30</v>
      </c>
      <c r="C12" s="116">
        <v>48</v>
      </c>
      <c r="D12" s="152">
        <f>476249.58+38797.46</f>
        <v>515047.04000000004</v>
      </c>
      <c r="E12" s="152">
        <f>476249.58+38797.46-379364</f>
        <v>135683.04000000004</v>
      </c>
      <c r="F12" s="152">
        <f>57235.69+7982.69</f>
        <v>65218.380000000005</v>
      </c>
      <c r="G12" s="152">
        <f>65218-55941</f>
        <v>9277</v>
      </c>
    </row>
    <row r="13" spans="1:7" ht="24" customHeight="1">
      <c r="A13" s="116">
        <v>74</v>
      </c>
      <c r="B13" s="109" t="s">
        <v>120</v>
      </c>
      <c r="C13" s="116">
        <v>49</v>
      </c>
      <c r="D13" s="152">
        <f>150064.32+132300+6312.28+69387.21+1157700+177536+27268+74032+56700</f>
        <v>1851299.81</v>
      </c>
      <c r="E13" s="152">
        <f>150064.32+132300+6312.28+69387.21+1157700+177536+27268+74032+56700-1794600</f>
        <v>56699.810000000056</v>
      </c>
      <c r="F13" s="152">
        <f>99392.92+271600+177361+5556.46+77616+153626.21+284858.33+4202.5</f>
        <v>1074213.42</v>
      </c>
      <c r="G13" s="152">
        <v>0</v>
      </c>
    </row>
    <row r="14" spans="1:7" ht="24" customHeight="1">
      <c r="A14" s="116">
        <v>75</v>
      </c>
      <c r="B14" s="109" t="s">
        <v>4</v>
      </c>
      <c r="C14" s="116">
        <v>50</v>
      </c>
      <c r="D14" s="152">
        <v>317896.74</v>
      </c>
      <c r="E14" s="152">
        <v>317896.74</v>
      </c>
      <c r="F14" s="152">
        <v>1689528.03</v>
      </c>
      <c r="G14" s="152">
        <f>1689528-1238717</f>
        <v>450811</v>
      </c>
    </row>
    <row r="15" spans="1:7" ht="31.5" customHeight="1">
      <c r="A15" s="101"/>
      <c r="B15" s="106" t="s">
        <v>196</v>
      </c>
      <c r="C15" s="116">
        <v>51</v>
      </c>
      <c r="D15" s="158">
        <f>+D10+D11+D12+D13+D14</f>
        <v>13846590.790000003</v>
      </c>
      <c r="E15" s="158">
        <f>+E10+E11+E12+E13+E14</f>
        <v>3058120.790000001</v>
      </c>
      <c r="F15" s="158">
        <f>+F10+F11+F12+F13+F14</f>
        <v>18750079.35</v>
      </c>
      <c r="G15" s="158">
        <v>16577293</v>
      </c>
    </row>
    <row r="16" spans="1:7" ht="24" customHeight="1">
      <c r="A16" s="116"/>
      <c r="B16" s="106" t="s">
        <v>5</v>
      </c>
      <c r="C16" s="116">
        <v>52</v>
      </c>
      <c r="D16" s="152"/>
      <c r="E16" s="152"/>
      <c r="F16" s="152"/>
      <c r="G16" s="152"/>
    </row>
    <row r="17" spans="1:7" ht="24" customHeight="1">
      <c r="A17" s="116">
        <v>63</v>
      </c>
      <c r="B17" s="109" t="s">
        <v>121</v>
      </c>
      <c r="C17" s="116">
        <v>53</v>
      </c>
      <c r="D17" s="152">
        <f>37247539.44+3111032.99</f>
        <v>40358572.43</v>
      </c>
      <c r="E17" s="152">
        <f>37247539.44+3111032.99-39167604</f>
        <v>1190968.4299999997</v>
      </c>
      <c r="F17" s="152">
        <f>10727748.19+6851599.13</f>
        <v>17579347.32</v>
      </c>
      <c r="G17" s="152">
        <f>17579347-11837455</f>
        <v>5741892</v>
      </c>
    </row>
    <row r="18" spans="1:7" ht="36" customHeight="1">
      <c r="A18" s="116" t="s">
        <v>96</v>
      </c>
      <c r="B18" s="109" t="s">
        <v>31</v>
      </c>
      <c r="C18" s="116">
        <v>54</v>
      </c>
      <c r="D18" s="152">
        <v>235171.51</v>
      </c>
      <c r="E18" s="152">
        <f>235171.51-203465</f>
        <v>31706.51000000001</v>
      </c>
      <c r="F18" s="152">
        <v>38248.01</v>
      </c>
      <c r="G18" s="152">
        <f>38248-36220</f>
        <v>2028</v>
      </c>
    </row>
    <row r="19" spans="1:7" ht="24" customHeight="1">
      <c r="A19" s="116">
        <v>61</v>
      </c>
      <c r="B19" s="109" t="s">
        <v>97</v>
      </c>
      <c r="C19" s="116">
        <v>55</v>
      </c>
      <c r="D19" s="152">
        <v>4384559.21</v>
      </c>
      <c r="E19" s="152">
        <f>4384559.21-4621559</f>
        <v>-236999.79000000004</v>
      </c>
      <c r="F19" s="152">
        <f>1401656.65+481129.5+529220.06+530220.53+528747.89+510817.55+335000</f>
        <v>4316792.18</v>
      </c>
      <c r="G19" s="152">
        <f>4316792-3981792</f>
        <v>335000</v>
      </c>
    </row>
    <row r="20" spans="1:7" ht="24" customHeight="1">
      <c r="A20" s="116">
        <v>67</v>
      </c>
      <c r="B20" s="109" t="s">
        <v>42</v>
      </c>
      <c r="C20" s="116">
        <v>56</v>
      </c>
      <c r="D20" s="152">
        <v>2579.84</v>
      </c>
      <c r="E20" s="152">
        <f>2579.84-2531</f>
        <v>48.840000000000146</v>
      </c>
      <c r="F20" s="152">
        <v>297.32</v>
      </c>
      <c r="G20" s="152">
        <f>297-202</f>
        <v>95</v>
      </c>
    </row>
    <row r="21" spans="1:7" ht="24" customHeight="1">
      <c r="A21" s="116">
        <v>65</v>
      </c>
      <c r="B21" s="109" t="s">
        <v>43</v>
      </c>
      <c r="C21" s="116">
        <v>57</v>
      </c>
      <c r="D21" s="152">
        <f>205399.46+427000</f>
        <v>632399.46</v>
      </c>
      <c r="E21" s="152">
        <f>205399.46+427000-589602</f>
        <v>42797.45999999996</v>
      </c>
      <c r="F21" s="152">
        <f>176262.34+14271.76+1600.76</f>
        <v>192134.86000000002</v>
      </c>
      <c r="G21" s="152">
        <f>192135-143642</f>
        <v>48493</v>
      </c>
    </row>
    <row r="22" spans="1:7" ht="24" customHeight="1">
      <c r="A22" s="116">
        <v>66</v>
      </c>
      <c r="B22" s="109" t="s">
        <v>21</v>
      </c>
      <c r="C22" s="116">
        <v>58</v>
      </c>
      <c r="D22" s="152">
        <f>36599.08+98878.77</f>
        <v>135477.85</v>
      </c>
      <c r="E22" s="152">
        <f>36599.08+98878.77-106476</f>
        <v>29001.850000000006</v>
      </c>
      <c r="F22" s="152">
        <v>163642.1</v>
      </c>
      <c r="G22" s="152">
        <f>163642-139122</f>
        <v>24520</v>
      </c>
    </row>
    <row r="23" spans="1:7" ht="24" customHeight="1">
      <c r="A23" s="116">
        <v>64</v>
      </c>
      <c r="B23" s="109" t="s">
        <v>32</v>
      </c>
      <c r="C23" s="116">
        <v>59</v>
      </c>
      <c r="D23" s="152"/>
      <c r="E23" s="152"/>
      <c r="F23" s="152"/>
      <c r="G23" s="152"/>
    </row>
    <row r="24" spans="1:7" ht="24" customHeight="1">
      <c r="A24" s="116">
        <v>69</v>
      </c>
      <c r="B24" s="109" t="s">
        <v>122</v>
      </c>
      <c r="C24" s="116">
        <v>60</v>
      </c>
      <c r="D24" s="152">
        <f>-45748760.3+47258037.63</f>
        <v>1509277.3300000057</v>
      </c>
      <c r="E24" s="152">
        <f>-45748760.3+47258037.63-794082</f>
        <v>715195.3300000057</v>
      </c>
      <c r="F24" s="152">
        <f>10000+431999.99+154479.64+85249.02+89085.25+24586.1+89648.4+520+304104.97+17375+98400+35852.12+0.17+78745.56+9843.79+775.41+0.01-0.16</f>
        <v>1430665.2700000003</v>
      </c>
      <c r="G24" s="152">
        <f>1430665-1174893</f>
        <v>255772</v>
      </c>
    </row>
    <row r="25" spans="1:7" ht="37.5" customHeight="1">
      <c r="A25" s="101"/>
      <c r="B25" s="106" t="s">
        <v>197</v>
      </c>
      <c r="C25" s="116">
        <v>61</v>
      </c>
      <c r="D25" s="158">
        <f>+D17+D18+D19+D20+D21+D22+D23+D24</f>
        <v>47258037.63000001</v>
      </c>
      <c r="E25" s="158">
        <f>+E17+E18+E19+E20+E21+E22+E23+E24</f>
        <v>1772718.6300000052</v>
      </c>
      <c r="F25" s="158">
        <f>+F17+F18+F19+F20+F21+F22+F23+F24</f>
        <v>23721127.060000002</v>
      </c>
      <c r="G25" s="158">
        <f>+G17+G18+G19+G20+G21+G22+G23+G24</f>
        <v>6407800</v>
      </c>
    </row>
    <row r="26" spans="1:7" ht="9" customHeight="1">
      <c r="A26" s="116"/>
      <c r="B26" s="109"/>
      <c r="C26" s="116"/>
      <c r="D26" s="152"/>
      <c r="E26" s="152"/>
      <c r="F26" s="152"/>
      <c r="G26" s="152"/>
    </row>
    <row r="27" spans="1:7" ht="51.75" customHeight="1">
      <c r="A27" s="101"/>
      <c r="B27" s="106" t="s">
        <v>198</v>
      </c>
      <c r="C27" s="116">
        <v>62</v>
      </c>
      <c r="D27" s="158">
        <f>+D15-D25</f>
        <v>-33411446.840000007</v>
      </c>
      <c r="E27" s="158">
        <f>+E15-E25</f>
        <v>1285402.1599999957</v>
      </c>
      <c r="F27" s="158">
        <f>+F15-F25</f>
        <v>-4971047.710000001</v>
      </c>
      <c r="G27" s="158">
        <f>+G15-G25</f>
        <v>10169493</v>
      </c>
    </row>
    <row r="28" spans="1:7" ht="38.25" customHeight="1">
      <c r="A28" s="116"/>
      <c r="B28" s="106" t="s">
        <v>123</v>
      </c>
      <c r="C28" s="116">
        <v>63</v>
      </c>
      <c r="D28" s="152"/>
      <c r="E28" s="152"/>
      <c r="F28" s="152"/>
      <c r="G28" s="152"/>
    </row>
    <row r="29" spans="1:7" ht="32.25" customHeight="1">
      <c r="A29" s="116" t="s">
        <v>129</v>
      </c>
      <c r="B29" s="109" t="s">
        <v>124</v>
      </c>
      <c r="C29" s="116">
        <v>64</v>
      </c>
      <c r="D29" s="152"/>
      <c r="E29" s="152"/>
      <c r="F29" s="152"/>
      <c r="G29" s="152"/>
    </row>
    <row r="30" spans="1:7" ht="24" customHeight="1">
      <c r="A30" s="116" t="s">
        <v>125</v>
      </c>
      <c r="B30" s="109" t="s">
        <v>59</v>
      </c>
      <c r="C30" s="116">
        <v>65</v>
      </c>
      <c r="D30" s="152"/>
      <c r="E30" s="152"/>
      <c r="F30" s="152"/>
      <c r="G30" s="152"/>
    </row>
    <row r="31" spans="1:7" ht="31.5" customHeight="1">
      <c r="A31" s="116" t="s">
        <v>130</v>
      </c>
      <c r="B31" s="109" t="s">
        <v>126</v>
      </c>
      <c r="C31" s="116">
        <v>66</v>
      </c>
      <c r="D31" s="152"/>
      <c r="E31" s="152"/>
      <c r="F31" s="152"/>
      <c r="G31" s="152"/>
    </row>
    <row r="32" spans="1:7" ht="50.25" customHeight="1">
      <c r="A32" s="101"/>
      <c r="B32" s="106" t="s">
        <v>199</v>
      </c>
      <c r="C32" s="116">
        <v>67</v>
      </c>
      <c r="D32" s="158">
        <f>+D29+D30+D31</f>
        <v>0</v>
      </c>
      <c r="E32" s="158">
        <f>+E29+E30+E31</f>
        <v>0</v>
      </c>
      <c r="F32" s="158">
        <f>+F29+F30+F31</f>
        <v>0</v>
      </c>
      <c r="G32" s="158">
        <f>+G29+G30+G31</f>
        <v>0</v>
      </c>
    </row>
    <row r="33" spans="1:7" ht="10.5" customHeight="1">
      <c r="A33" s="116"/>
      <c r="B33" s="109"/>
      <c r="C33" s="116"/>
      <c r="D33" s="152"/>
      <c r="E33" s="152"/>
      <c r="F33" s="152"/>
      <c r="G33" s="152"/>
    </row>
    <row r="34" spans="1:7" ht="33" customHeight="1">
      <c r="A34" s="101"/>
      <c r="B34" s="106" t="s">
        <v>200</v>
      </c>
      <c r="C34" s="116">
        <v>68</v>
      </c>
      <c r="D34" s="158">
        <f>+D27+D32</f>
        <v>-33411446.840000007</v>
      </c>
      <c r="E34" s="158">
        <f>+E27+E32</f>
        <v>1285402.1599999957</v>
      </c>
      <c r="F34" s="158">
        <f>+F27+F32</f>
        <v>-4971047.710000001</v>
      </c>
      <c r="G34" s="158">
        <f>+G27+G32</f>
        <v>10169493</v>
      </c>
    </row>
    <row r="35" spans="1:7" ht="24" customHeight="1">
      <c r="A35" s="101"/>
      <c r="B35" s="106" t="s">
        <v>127</v>
      </c>
      <c r="C35" s="116">
        <v>69</v>
      </c>
      <c r="D35" s="159"/>
      <c r="E35" s="159"/>
      <c r="F35" s="159"/>
      <c r="G35" s="159"/>
    </row>
    <row r="36" spans="1:7" ht="33" customHeight="1">
      <c r="A36" s="101"/>
      <c r="B36" s="106" t="s">
        <v>201</v>
      </c>
      <c r="C36" s="116">
        <v>70</v>
      </c>
      <c r="D36" s="159">
        <f>+D34-D35</f>
        <v>-33411446.840000007</v>
      </c>
      <c r="E36" s="159">
        <f>+E34-E35</f>
        <v>1285402.1599999957</v>
      </c>
      <c r="F36" s="159">
        <f>+F34-F35</f>
        <v>-4971047.710000001</v>
      </c>
      <c r="G36" s="159">
        <f>+G34-G35</f>
        <v>10169493</v>
      </c>
    </row>
    <row r="37" spans="1:7" ht="33.75" customHeight="1">
      <c r="A37" s="101"/>
      <c r="B37" s="106" t="s">
        <v>202</v>
      </c>
      <c r="C37" s="116">
        <v>71</v>
      </c>
      <c r="D37" s="159">
        <f>+D38+D39</f>
        <v>29575215</v>
      </c>
      <c r="E37" s="159">
        <f>+E38+E39</f>
        <v>4348735</v>
      </c>
      <c r="F37" s="159">
        <f>+F38+F39</f>
        <v>17383784.620000005</v>
      </c>
      <c r="G37" s="159">
        <f>SUM(G38)</f>
        <v>-13240230.36</v>
      </c>
    </row>
    <row r="38" spans="1:7" ht="30" customHeight="1">
      <c r="A38" s="101"/>
      <c r="B38" s="109" t="s">
        <v>61</v>
      </c>
      <c r="C38" s="116">
        <v>72</v>
      </c>
      <c r="D38" s="159">
        <v>29575215</v>
      </c>
      <c r="E38" s="159">
        <v>4348735</v>
      </c>
      <c r="F38" s="159">
        <f>+'[1]IFP'!E52-+'[1]IFP'!D52</f>
        <v>17383784.620000005</v>
      </c>
      <c r="G38" s="159">
        <f>+'[1]IFP'!E52+104469995.24</f>
        <v>-13240230.36</v>
      </c>
    </row>
    <row r="39" spans="1:7" ht="24" customHeight="1">
      <c r="A39" s="101"/>
      <c r="B39" s="109" t="s">
        <v>128</v>
      </c>
      <c r="C39" s="116">
        <v>73</v>
      </c>
      <c r="D39" s="159"/>
      <c r="E39" s="159"/>
      <c r="F39" s="159"/>
      <c r="G39" s="159"/>
    </row>
    <row r="40" spans="1:7" ht="36" customHeight="1">
      <c r="A40" s="101"/>
      <c r="B40" s="106" t="s">
        <v>203</v>
      </c>
      <c r="C40" s="116">
        <v>74</v>
      </c>
      <c r="D40" s="159">
        <f>+D36+D37</f>
        <v>-3836231.8400000073</v>
      </c>
      <c r="E40" s="159">
        <f>+E36+E37</f>
        <v>5634137.1599999955</v>
      </c>
      <c r="F40" s="159">
        <f>+F36+F37</f>
        <v>12412736.910000004</v>
      </c>
      <c r="G40" s="159">
        <f>+G36+G37</f>
        <v>-3070737.3599999994</v>
      </c>
    </row>
    <row r="41" spans="1:7" ht="24" customHeight="1">
      <c r="A41" s="101"/>
      <c r="B41" s="106" t="s">
        <v>62</v>
      </c>
      <c r="C41" s="116">
        <v>75</v>
      </c>
      <c r="D41" s="159"/>
      <c r="E41" s="159"/>
      <c r="F41" s="159"/>
      <c r="G41" s="159"/>
    </row>
    <row r="42" spans="1:7" ht="24" customHeight="1">
      <c r="A42" s="110"/>
      <c r="B42" s="110"/>
      <c r="C42" s="112"/>
      <c r="D42" s="112"/>
      <c r="E42" s="112"/>
      <c r="F42" s="117"/>
      <c r="G42" s="117"/>
    </row>
    <row r="43" spans="1:7" ht="24" customHeight="1">
      <c r="A43" s="110"/>
      <c r="B43" s="110"/>
      <c r="C43" s="112"/>
      <c r="D43" s="112"/>
      <c r="E43" s="112"/>
      <c r="F43" s="117"/>
      <c r="G43" s="117"/>
    </row>
    <row r="44" spans="1:7" ht="24" customHeight="1">
      <c r="A44" s="110"/>
      <c r="B44" s="110"/>
      <c r="C44" s="112"/>
      <c r="D44" s="112"/>
      <c r="E44" s="112"/>
      <c r="F44" s="117"/>
      <c r="G44" s="117"/>
    </row>
    <row r="45" spans="1:7" ht="24" customHeight="1">
      <c r="A45" s="110"/>
      <c r="B45" s="110"/>
      <c r="C45" s="112"/>
      <c r="D45" s="112"/>
      <c r="E45" s="112"/>
      <c r="F45" s="117"/>
      <c r="G45" s="117"/>
    </row>
    <row r="46" spans="1:7" ht="24" customHeight="1">
      <c r="A46" s="110"/>
      <c r="B46" s="110"/>
      <c r="C46" s="112"/>
      <c r="D46" s="112"/>
      <c r="E46" s="112"/>
      <c r="F46" s="117"/>
      <c r="G46" s="117"/>
    </row>
    <row r="47" spans="1:7" ht="24" customHeight="1">
      <c r="A47" s="110"/>
      <c r="B47" s="110"/>
      <c r="C47" s="112"/>
      <c r="D47" s="112"/>
      <c r="E47" s="112"/>
      <c r="F47" s="117"/>
      <c r="G47" s="117"/>
    </row>
    <row r="48" spans="1:7" ht="30.75" customHeight="1">
      <c r="A48" s="112"/>
      <c r="B48" s="113"/>
      <c r="C48" s="112"/>
      <c r="D48" s="112"/>
      <c r="E48" s="112"/>
      <c r="F48" s="113"/>
      <c r="G48" s="113"/>
    </row>
    <row r="50" ht="14.25">
      <c r="F50" s="103"/>
    </row>
    <row r="52" ht="14.25">
      <c r="F52" s="103"/>
    </row>
    <row r="54" ht="14.25">
      <c r="F54" s="103"/>
    </row>
    <row r="55" ht="14.25">
      <c r="F55" s="103"/>
    </row>
    <row r="56" ht="14.25">
      <c r="F56" s="103"/>
    </row>
    <row r="57" ht="14.25">
      <c r="F57" s="103"/>
    </row>
    <row r="58" ht="14.25">
      <c r="F58" s="103"/>
    </row>
    <row r="59" ht="14.25">
      <c r="F59" s="103"/>
    </row>
    <row r="61" ht="14.25">
      <c r="F61" s="103"/>
    </row>
  </sheetData>
  <sheetProtection/>
  <protectedRanges>
    <protectedRange sqref="A3:G4" name="Range1_1"/>
    <protectedRange sqref="G14" name="Range1_4"/>
    <protectedRange sqref="D41:E41 D29:E31 D35:E35 D39:E39" name="Range1_1_1"/>
    <protectedRange sqref="D38:E38" name="Range1_7"/>
    <protectedRange sqref="G10:G13" name="Range1_2"/>
    <protectedRange sqref="G17:G24" name="Range1_3"/>
    <protectedRange sqref="D10:E14 D17:E24" name="Range1_12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="85" zoomScaleNormal="90" zoomScaleSheetLayoutView="85" zoomScalePageLayoutView="0" workbookViewId="0" topLeftCell="A1">
      <selection activeCell="D10" sqref="D10"/>
    </sheetView>
  </sheetViews>
  <sheetFormatPr defaultColWidth="9.140625" defaultRowHeight="12.75"/>
  <cols>
    <col min="1" max="1" width="78.8515625" style="104" customWidth="1"/>
    <col min="2" max="2" width="10.7109375" style="97" customWidth="1"/>
    <col min="3" max="3" width="34.57421875" style="97" customWidth="1"/>
    <col min="4" max="4" width="34.57421875" style="104" customWidth="1"/>
    <col min="5" max="5" width="28.57421875" style="103" customWidth="1"/>
    <col min="6" max="16384" width="9.140625" style="104" customWidth="1"/>
  </cols>
  <sheetData>
    <row r="1" spans="1:4" s="97" customFormat="1" ht="19.5" customHeight="1">
      <c r="A1" s="113"/>
      <c r="B1" s="96"/>
      <c r="C1" s="96"/>
      <c r="D1" s="118" t="s">
        <v>63</v>
      </c>
    </row>
    <row r="2" spans="1:4" s="97" customFormat="1" ht="24" customHeight="1">
      <c r="A2" s="179" t="s">
        <v>66</v>
      </c>
      <c r="B2" s="179"/>
      <c r="C2" s="179"/>
      <c r="D2" s="179"/>
    </row>
    <row r="3" spans="1:7" s="97" customFormat="1" ht="24" customHeight="1">
      <c r="A3" s="180" t="s">
        <v>235</v>
      </c>
      <c r="B3" s="180"/>
      <c r="C3" s="180"/>
      <c r="D3" s="180"/>
      <c r="E3" s="180"/>
      <c r="F3" s="180"/>
      <c r="G3" s="180"/>
    </row>
    <row r="4" spans="1:7" s="97" customFormat="1" ht="24" customHeight="1">
      <c r="A4" s="180" t="s">
        <v>230</v>
      </c>
      <c r="B4" s="180"/>
      <c r="C4" s="180"/>
      <c r="D4" s="180"/>
      <c r="E4" s="180"/>
      <c r="F4" s="180"/>
      <c r="G4" s="180"/>
    </row>
    <row r="5" spans="1:4" s="97" customFormat="1" ht="24" customHeight="1">
      <c r="A5" s="181" t="s">
        <v>234</v>
      </c>
      <c r="B5" s="181"/>
      <c r="C5" s="181"/>
      <c r="D5" s="181"/>
    </row>
    <row r="6" spans="1:4" s="97" customFormat="1" ht="10.5" customHeight="1">
      <c r="A6" s="113"/>
      <c r="B6" s="96"/>
      <c r="C6" s="96"/>
      <c r="D6" s="115" t="s">
        <v>183</v>
      </c>
    </row>
    <row r="7" spans="1:5" ht="36.75" customHeight="1">
      <c r="A7" s="101" t="s">
        <v>22</v>
      </c>
      <c r="B7" s="101" t="s">
        <v>50</v>
      </c>
      <c r="C7" s="101" t="s">
        <v>57</v>
      </c>
      <c r="D7" s="101" t="s">
        <v>60</v>
      </c>
      <c r="E7" s="104"/>
    </row>
    <row r="8" spans="1:5" ht="42.75" customHeight="1">
      <c r="A8" s="106" t="s">
        <v>204</v>
      </c>
      <c r="B8" s="116">
        <v>107</v>
      </c>
      <c r="C8" s="160">
        <f>+SUM(C9:C29)</f>
        <v>-31556638.46</v>
      </c>
      <c r="D8" s="160">
        <f>+SUM(D9:D29)</f>
        <v>-21419222.479999997</v>
      </c>
      <c r="E8" s="104"/>
    </row>
    <row r="9" spans="1:5" ht="42.75" customHeight="1">
      <c r="A9" s="109" t="s">
        <v>133</v>
      </c>
      <c r="B9" s="116">
        <v>108</v>
      </c>
      <c r="C9" s="153">
        <v>-33411446.84</v>
      </c>
      <c r="D9" s="153">
        <f>+'[1]IFP'!E55</f>
        <v>-4971047.870000001</v>
      </c>
      <c r="E9" s="104"/>
    </row>
    <row r="10" spans="1:5" ht="42.75" customHeight="1">
      <c r="A10" s="109" t="s">
        <v>67</v>
      </c>
      <c r="B10" s="116">
        <v>109</v>
      </c>
      <c r="C10" s="153"/>
      <c r="D10" s="153"/>
      <c r="E10" s="104"/>
    </row>
    <row r="11" spans="1:5" ht="42.75" customHeight="1">
      <c r="A11" s="109" t="s">
        <v>68</v>
      </c>
      <c r="B11" s="116">
        <v>110</v>
      </c>
      <c r="C11" s="153"/>
      <c r="D11" s="153"/>
      <c r="E11" s="104"/>
    </row>
    <row r="12" spans="1:5" ht="42.75" customHeight="1">
      <c r="A12" s="109" t="s">
        <v>69</v>
      </c>
      <c r="B12" s="116">
        <v>111</v>
      </c>
      <c r="C12" s="153">
        <v>-600858.41</v>
      </c>
      <c r="D12" s="153">
        <f>+'[1]ISD'!F11</f>
        <v>1298442.8900000001</v>
      </c>
      <c r="E12" s="104"/>
    </row>
    <row r="13" spans="1:5" ht="42.75" customHeight="1">
      <c r="A13" s="109" t="s">
        <v>42</v>
      </c>
      <c r="B13" s="116">
        <v>112</v>
      </c>
      <c r="C13" s="153">
        <v>2579.84</v>
      </c>
      <c r="D13" s="153">
        <f>+'[1]ISD'!F20+'[1]IFP'!E37</f>
        <v>297.32</v>
      </c>
      <c r="E13" s="104"/>
    </row>
    <row r="14" spans="1:5" ht="42.75" customHeight="1">
      <c r="A14" s="109" t="s">
        <v>120</v>
      </c>
      <c r="B14" s="116">
        <v>113</v>
      </c>
      <c r="C14" s="153">
        <v>-1851299.81</v>
      </c>
      <c r="D14" s="153">
        <f>+'[1]ISD'!F13</f>
        <v>1074213.42</v>
      </c>
      <c r="E14" s="104"/>
    </row>
    <row r="15" spans="1:5" ht="42.75" customHeight="1">
      <c r="A15" s="109" t="s">
        <v>134</v>
      </c>
      <c r="B15" s="116">
        <v>114</v>
      </c>
      <c r="C15" s="153"/>
      <c r="D15" s="153"/>
      <c r="E15" s="104"/>
    </row>
    <row r="16" spans="1:5" ht="42.75" customHeight="1">
      <c r="A16" s="109" t="s">
        <v>135</v>
      </c>
      <c r="B16" s="116">
        <v>115</v>
      </c>
      <c r="C16" s="153"/>
      <c r="D16" s="153"/>
      <c r="E16" s="104"/>
    </row>
    <row r="17" spans="1:5" ht="42.75" customHeight="1">
      <c r="A17" s="109" t="s">
        <v>70</v>
      </c>
      <c r="B17" s="116">
        <v>116</v>
      </c>
      <c r="C17" s="153">
        <v>35900094.98</v>
      </c>
      <c r="D17" s="153">
        <f>+'[1]IFP'!D13-'[1]IFP'!E13</f>
        <v>-18722816.599999994</v>
      </c>
      <c r="E17" s="104"/>
    </row>
    <row r="18" spans="1:5" ht="42.75" customHeight="1">
      <c r="A18" s="109" t="s">
        <v>64</v>
      </c>
      <c r="B18" s="116">
        <v>117</v>
      </c>
      <c r="C18" s="153">
        <v>188098.06</v>
      </c>
      <c r="D18" s="153">
        <f>-(-D12-'[1]IFP'!E23)</f>
        <v>1719321.1500000001</v>
      </c>
      <c r="E18" s="104"/>
    </row>
    <row r="19" spans="1:5" ht="42.75" customHeight="1">
      <c r="A19" s="109" t="s">
        <v>71</v>
      </c>
      <c r="B19" s="116">
        <v>118</v>
      </c>
      <c r="C19" s="153">
        <v>-2579.84</v>
      </c>
      <c r="D19" s="153">
        <f>-D13-'[1]IFP'!E37</f>
        <v>-297.32</v>
      </c>
      <c r="E19" s="104"/>
    </row>
    <row r="20" spans="1:5" ht="42.75" customHeight="1">
      <c r="A20" s="109" t="s">
        <v>131</v>
      </c>
      <c r="B20" s="116">
        <v>119</v>
      </c>
      <c r="C20" s="153"/>
      <c r="D20" s="153">
        <f>-(-D14-'[1]IFP'!E18)</f>
        <v>1074213.42</v>
      </c>
      <c r="E20" s="104"/>
    </row>
    <row r="21" spans="1:5" ht="42.75" customHeight="1">
      <c r="A21" s="109" t="s">
        <v>136</v>
      </c>
      <c r="B21" s="116">
        <v>120</v>
      </c>
      <c r="C21" s="153"/>
      <c r="D21" s="153"/>
      <c r="E21" s="104"/>
    </row>
    <row r="22" spans="1:5" ht="42.75" customHeight="1">
      <c r="A22" s="109" t="s">
        <v>137</v>
      </c>
      <c r="B22" s="116">
        <v>121</v>
      </c>
      <c r="C22" s="153">
        <v>-1495500</v>
      </c>
      <c r="D22" s="153">
        <f>+'[1]IFP'!D17-'[1]IFP'!E17+'[1]IFP'!D18-'[1]IFP'!E18-D20</f>
        <v>-207445.04999999993</v>
      </c>
      <c r="E22" s="104"/>
    </row>
    <row r="23" spans="1:5" ht="42.75" customHeight="1">
      <c r="A23" s="109" t="s">
        <v>72</v>
      </c>
      <c r="B23" s="116">
        <v>122</v>
      </c>
      <c r="C23" s="153"/>
      <c r="D23" s="153"/>
      <c r="E23" s="104"/>
    </row>
    <row r="24" spans="1:5" ht="42.75" customHeight="1">
      <c r="A24" s="109" t="s">
        <v>73</v>
      </c>
      <c r="B24" s="116">
        <v>123</v>
      </c>
      <c r="C24" s="153">
        <v>2257835.9</v>
      </c>
      <c r="D24" s="153">
        <f>+'[1]IFP'!D19-'[1]IFP'!E19+'[1]IFP'!D20-'[1]IFP'!E20+'[1]IFP'!D21-'[1]IFP'!E21+'[1]IFP'!D22-'[1]IFP'!E22+'[1]IFP'!D23-'[1]IFP'!E23-D12-D18</f>
        <v>-2945047.2300000004</v>
      </c>
      <c r="E24" s="104"/>
    </row>
    <row r="25" spans="1:5" ht="42.75" customHeight="1">
      <c r="A25" s="109" t="s">
        <v>138</v>
      </c>
      <c r="B25" s="116">
        <v>124</v>
      </c>
      <c r="C25" s="153">
        <v>53908.47</v>
      </c>
      <c r="D25" s="153">
        <f>+'[1]IFP'!E29-'[1]IFP'!D29</f>
        <v>-51659.229999999996</v>
      </c>
      <c r="E25" s="104"/>
    </row>
    <row r="26" spans="1:5" ht="42.75" customHeight="1">
      <c r="A26" s="109" t="s">
        <v>139</v>
      </c>
      <c r="B26" s="116">
        <v>125</v>
      </c>
      <c r="C26" s="153"/>
      <c r="D26" s="153"/>
      <c r="E26" s="104"/>
    </row>
    <row r="27" spans="1:5" ht="42.75" customHeight="1">
      <c r="A27" s="109" t="s">
        <v>140</v>
      </c>
      <c r="B27" s="116">
        <v>126</v>
      </c>
      <c r="C27" s="153">
        <v>-965236.66</v>
      </c>
      <c r="D27" s="153">
        <f>+'[1]IFP'!E32-'[1]IFP'!D32+'[1]IFP'!E33-'[1]IFP'!D33</f>
        <v>482541.86</v>
      </c>
      <c r="E27" s="104"/>
    </row>
    <row r="28" spans="1:5" ht="42.75" customHeight="1">
      <c r="A28" s="109" t="s">
        <v>74</v>
      </c>
      <c r="B28" s="116">
        <v>127</v>
      </c>
      <c r="C28" s="153">
        <v>-31632234.15</v>
      </c>
      <c r="D28" s="153">
        <f>+'[1]IFP'!E35-'[1]IFP'!D35+'[1]IFP'!E34-'[1]IFP'!D34+'[1]IFP'!E36-'[1]IFP'!D36</f>
        <v>-169939.24</v>
      </c>
      <c r="E28" s="104"/>
    </row>
    <row r="29" spans="1:5" ht="42.75" customHeight="1">
      <c r="A29" s="109" t="s">
        <v>141</v>
      </c>
      <c r="B29" s="116">
        <v>128</v>
      </c>
      <c r="C29" s="153"/>
      <c r="D29" s="153"/>
      <c r="E29" s="104"/>
    </row>
    <row r="30" spans="1:5" ht="42.75" customHeight="1">
      <c r="A30" s="106" t="s">
        <v>205</v>
      </c>
      <c r="B30" s="116">
        <v>129</v>
      </c>
      <c r="C30" s="160">
        <f>+C31+C32+C33</f>
        <v>31426514.76</v>
      </c>
      <c r="D30" s="160">
        <f>+D31+D32+D33</f>
        <v>16309571.200000005</v>
      </c>
      <c r="E30" s="104"/>
    </row>
    <row r="31" spans="1:5" ht="42.75" customHeight="1">
      <c r="A31" s="119" t="s">
        <v>206</v>
      </c>
      <c r="B31" s="116">
        <v>130</v>
      </c>
      <c r="C31" s="153"/>
      <c r="D31" s="153"/>
      <c r="E31" s="104"/>
    </row>
    <row r="32" spans="1:5" ht="42.75" customHeight="1">
      <c r="A32" s="109" t="s">
        <v>132</v>
      </c>
      <c r="B32" s="116">
        <v>131</v>
      </c>
      <c r="C32" s="153"/>
      <c r="D32" s="153"/>
      <c r="E32" s="104"/>
    </row>
    <row r="33" spans="1:5" ht="42.75" customHeight="1">
      <c r="A33" s="109" t="s">
        <v>75</v>
      </c>
      <c r="B33" s="116">
        <v>132</v>
      </c>
      <c r="C33" s="153">
        <v>31426514.76</v>
      </c>
      <c r="D33" s="153">
        <f>+'[1]IFP'!E51-'[1]IFP'!D51+'[1]IFP'!E52-'[1]IFP'!D52+'[1]IFP'!E53-'[1]IFP'!D53+'[1]IFP'!E54-'[1]IFP'!D54-'[1]IFP'!D55-D14</f>
        <v>16309571.200000005</v>
      </c>
      <c r="E33" s="104"/>
    </row>
    <row r="34" spans="1:5" ht="42.75" customHeight="1">
      <c r="A34" s="106" t="s">
        <v>207</v>
      </c>
      <c r="B34" s="116">
        <v>133</v>
      </c>
      <c r="C34" s="160">
        <f>+C8+C30</f>
        <v>-130123.69999999925</v>
      </c>
      <c r="D34" s="160">
        <f>+D8+D30</f>
        <v>-5109651.279999992</v>
      </c>
      <c r="E34" s="104"/>
    </row>
    <row r="35" spans="1:5" ht="42.75" customHeight="1">
      <c r="A35" s="106" t="s">
        <v>65</v>
      </c>
      <c r="B35" s="116">
        <v>134</v>
      </c>
      <c r="C35" s="153">
        <v>6731947.81</v>
      </c>
      <c r="D35" s="153">
        <f>+'[1]IFP'!D10</f>
        <v>6601824.109999999</v>
      </c>
      <c r="E35" s="104"/>
    </row>
    <row r="36" spans="1:5" ht="42.75" customHeight="1">
      <c r="A36" s="106" t="s">
        <v>208</v>
      </c>
      <c r="B36" s="116">
        <v>135</v>
      </c>
      <c r="C36" s="160">
        <f>+C34+C35</f>
        <v>6601824.11</v>
      </c>
      <c r="D36" s="160">
        <f>+D34+D35</f>
        <v>1492172.8300000075</v>
      </c>
      <c r="E36" s="104"/>
    </row>
    <row r="37" spans="1:5" ht="37.5" customHeight="1">
      <c r="A37" s="113"/>
      <c r="B37" s="112"/>
      <c r="C37" s="120"/>
      <c r="D37" s="120"/>
      <c r="E37" s="104"/>
    </row>
    <row r="38" spans="1:5" ht="37.5" customHeight="1">
      <c r="A38" s="113"/>
      <c r="B38" s="112"/>
      <c r="C38" s="120"/>
      <c r="D38" s="120"/>
      <c r="E38" s="104"/>
    </row>
    <row r="39" spans="1:5" ht="37.5" customHeight="1">
      <c r="A39" s="113"/>
      <c r="B39" s="112"/>
      <c r="C39" s="120"/>
      <c r="D39" s="120"/>
      <c r="E39" s="104"/>
    </row>
    <row r="40" spans="1:5" ht="37.5" customHeight="1">
      <c r="A40" s="121"/>
      <c r="B40" s="112"/>
      <c r="C40" s="112"/>
      <c r="D40" s="112"/>
      <c r="E40" s="104"/>
    </row>
    <row r="42" ht="14.25">
      <c r="D42" s="103"/>
    </row>
    <row r="44" ht="14.25">
      <c r="D44" s="103"/>
    </row>
    <row r="46" ht="14.25">
      <c r="D46" s="103"/>
    </row>
    <row r="47" ht="14.25">
      <c r="D47" s="103"/>
    </row>
    <row r="48" ht="14.25">
      <c r="D48" s="103"/>
    </row>
    <row r="49" ht="14.25">
      <c r="D49" s="103"/>
    </row>
    <row r="50" ht="14.25">
      <c r="D50" s="103"/>
    </row>
    <row r="51" ht="14.25">
      <c r="D51" s="103"/>
    </row>
    <row r="53" ht="14.25">
      <c r="D53" s="103"/>
    </row>
  </sheetData>
  <sheetProtection/>
  <protectedRanges>
    <protectedRange sqref="A3:G4" name="Range1_1"/>
  </protectedRanges>
  <mergeCells count="4">
    <mergeCell ref="A2:D2"/>
    <mergeCell ref="A5:D5"/>
    <mergeCell ref="A3:G3"/>
    <mergeCell ref="A4:G4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7">
      <selection activeCell="C11" sqref="C11"/>
    </sheetView>
  </sheetViews>
  <sheetFormatPr defaultColWidth="9.140625" defaultRowHeight="12.75"/>
  <cols>
    <col min="1" max="1" width="60.28125" style="104" customWidth="1"/>
    <col min="2" max="2" width="12.57421875" style="97" customWidth="1"/>
    <col min="3" max="5" width="25.7109375" style="97" customWidth="1"/>
    <col min="6" max="6" width="25.7109375" style="104" customWidth="1"/>
    <col min="7" max="7" width="28.57421875" style="103" customWidth="1"/>
    <col min="8" max="16384" width="9.140625" style="104" customWidth="1"/>
  </cols>
  <sheetData>
    <row r="1" spans="1:6" s="97" customFormat="1" ht="19.5" customHeight="1">
      <c r="A1" s="113"/>
      <c r="B1" s="96"/>
      <c r="C1" s="96"/>
      <c r="D1" s="96"/>
      <c r="E1" s="96"/>
      <c r="F1" s="118" t="s">
        <v>149</v>
      </c>
    </row>
    <row r="2" spans="1:6" s="97" customFormat="1" ht="24" customHeight="1">
      <c r="A2" s="179" t="s">
        <v>142</v>
      </c>
      <c r="B2" s="179"/>
      <c r="C2" s="179"/>
      <c r="D2" s="179"/>
      <c r="E2" s="179"/>
      <c r="F2" s="179"/>
    </row>
    <row r="3" spans="1:7" s="97" customFormat="1" ht="24" customHeight="1">
      <c r="A3" s="180" t="s">
        <v>235</v>
      </c>
      <c r="B3" s="180"/>
      <c r="C3" s="180"/>
      <c r="D3" s="180"/>
      <c r="E3" s="180"/>
      <c r="F3" s="180"/>
      <c r="G3" s="180"/>
    </row>
    <row r="4" spans="1:7" s="97" customFormat="1" ht="24" customHeight="1">
      <c r="A4" s="180" t="s">
        <v>230</v>
      </c>
      <c r="B4" s="180"/>
      <c r="C4" s="180"/>
      <c r="D4" s="180"/>
      <c r="E4" s="180"/>
      <c r="F4" s="180"/>
      <c r="G4" s="180"/>
    </row>
    <row r="5" spans="1:6" s="97" customFormat="1" ht="24" customHeight="1">
      <c r="A5" s="181" t="s">
        <v>234</v>
      </c>
      <c r="B5" s="181"/>
      <c r="C5" s="181"/>
      <c r="D5" s="181"/>
      <c r="E5" s="181"/>
      <c r="F5" s="181"/>
    </row>
    <row r="6" spans="1:6" s="97" customFormat="1" ht="24" customHeight="1">
      <c r="A6" s="113"/>
      <c r="B6" s="96"/>
      <c r="C6" s="96"/>
      <c r="D6" s="96"/>
      <c r="E6" s="96"/>
      <c r="F6" s="115" t="s">
        <v>183</v>
      </c>
    </row>
    <row r="7" spans="1:7" ht="65.25" customHeight="1">
      <c r="A7" s="101" t="s">
        <v>22</v>
      </c>
      <c r="B7" s="101" t="s">
        <v>50</v>
      </c>
      <c r="C7" s="101" t="s">
        <v>76</v>
      </c>
      <c r="D7" s="101" t="s">
        <v>77</v>
      </c>
      <c r="E7" s="101" t="s">
        <v>78</v>
      </c>
      <c r="F7" s="101" t="s">
        <v>79</v>
      </c>
      <c r="G7" s="104"/>
    </row>
    <row r="8" spans="1:7" ht="26.25" customHeight="1">
      <c r="A8" s="109" t="s">
        <v>110</v>
      </c>
      <c r="B8" s="116">
        <v>136</v>
      </c>
      <c r="C8" s="153">
        <f>+'[1]IFP'!D48</f>
        <v>301177620</v>
      </c>
      <c r="D8" s="153"/>
      <c r="E8" s="153"/>
      <c r="F8" s="153">
        <f aca="true" t="shared" si="0" ref="F8:F16">+C8+D8-E8</f>
        <v>301177620</v>
      </c>
      <c r="G8" s="104"/>
    </row>
    <row r="9" spans="1:7" ht="26.25" customHeight="1">
      <c r="A9" s="109" t="s">
        <v>143</v>
      </c>
      <c r="B9" s="116">
        <v>137</v>
      </c>
      <c r="C9" s="153">
        <f>+'[1]IFP'!D49</f>
        <v>0</v>
      </c>
      <c r="D9" s="153"/>
      <c r="E9" s="153"/>
      <c r="F9" s="153">
        <f t="shared" si="0"/>
        <v>0</v>
      </c>
      <c r="G9" s="104"/>
    </row>
    <row r="10" spans="1:7" ht="26.25" customHeight="1">
      <c r="A10" s="109" t="s">
        <v>144</v>
      </c>
      <c r="B10" s="116">
        <v>138</v>
      </c>
      <c r="C10" s="153">
        <f>+'[1]IFP'!D50</f>
        <v>0</v>
      </c>
      <c r="D10" s="153"/>
      <c r="E10" s="153"/>
      <c r="F10" s="153">
        <f t="shared" si="0"/>
        <v>0</v>
      </c>
      <c r="G10" s="104"/>
    </row>
    <row r="11" spans="1:7" ht="26.25" customHeight="1">
      <c r="A11" s="109" t="s">
        <v>113</v>
      </c>
      <c r="B11" s="116">
        <v>139</v>
      </c>
      <c r="C11" s="153">
        <f>+'[1]IFP'!D51</f>
        <v>15058881</v>
      </c>
      <c r="D11" s="153"/>
      <c r="E11" s="153"/>
      <c r="F11" s="153">
        <f t="shared" si="0"/>
        <v>15058881</v>
      </c>
      <c r="G11" s="104"/>
    </row>
    <row r="12" spans="1:7" ht="33.75" customHeight="1">
      <c r="A12" s="109" t="s">
        <v>145</v>
      </c>
      <c r="B12" s="116">
        <v>140</v>
      </c>
      <c r="C12" s="153">
        <f>+'[1]IFP'!D52</f>
        <v>-135094010.22</v>
      </c>
      <c r="D12" s="153">
        <f>F12-C12</f>
        <v>17383784.620000005</v>
      </c>
      <c r="E12" s="153"/>
      <c r="F12" s="153">
        <f>+'[1]IFP'!E52</f>
        <v>-117710225.6</v>
      </c>
      <c r="G12" s="104"/>
    </row>
    <row r="13" spans="1:7" ht="26.25" customHeight="1">
      <c r="A13" s="109" t="s">
        <v>29</v>
      </c>
      <c r="B13" s="116">
        <v>141</v>
      </c>
      <c r="C13" s="153">
        <f>+'[1]IFP'!D53</f>
        <v>0</v>
      </c>
      <c r="D13" s="153"/>
      <c r="E13" s="153"/>
      <c r="F13" s="153">
        <f t="shared" si="0"/>
        <v>0</v>
      </c>
      <c r="G13" s="104"/>
    </row>
    <row r="14" spans="1:7" ht="26.25" customHeight="1">
      <c r="A14" s="109" t="s">
        <v>146</v>
      </c>
      <c r="B14" s="116">
        <v>142</v>
      </c>
      <c r="C14" s="153">
        <f>+'[1]IFP'!D54</f>
        <v>8736482.4</v>
      </c>
      <c r="D14" s="153"/>
      <c r="E14" s="153">
        <f>C14-+'[1]IFP'!E54</f>
        <v>33411446.839999996</v>
      </c>
      <c r="F14" s="153">
        <f t="shared" si="0"/>
        <v>-24674964.439999998</v>
      </c>
      <c r="G14" s="104"/>
    </row>
    <row r="15" spans="1:7" ht="26.25" customHeight="1">
      <c r="A15" s="109" t="s">
        <v>147</v>
      </c>
      <c r="B15" s="116">
        <v>143</v>
      </c>
      <c r="C15" s="153">
        <f>+'[1]IFP'!D55</f>
        <v>-33411446.84</v>
      </c>
      <c r="D15" s="153">
        <f>F15-C15</f>
        <v>28440398.97</v>
      </c>
      <c r="E15" s="153">
        <v>0</v>
      </c>
      <c r="F15" s="153">
        <f>+'[1]IFP'!E55</f>
        <v>-4971047.870000001</v>
      </c>
      <c r="G15" s="104"/>
    </row>
    <row r="16" spans="1:7" ht="26.25" customHeight="1">
      <c r="A16" s="109" t="s">
        <v>148</v>
      </c>
      <c r="B16" s="116">
        <v>144</v>
      </c>
      <c r="C16" s="153"/>
      <c r="D16" s="153"/>
      <c r="E16" s="153"/>
      <c r="F16" s="153">
        <f t="shared" si="0"/>
        <v>0</v>
      </c>
      <c r="G16" s="104"/>
    </row>
    <row r="17" spans="1:7" ht="48" customHeight="1">
      <c r="A17" s="106" t="s">
        <v>209</v>
      </c>
      <c r="B17" s="116">
        <v>145</v>
      </c>
      <c r="C17" s="161">
        <f>+SUM(C8:C16)</f>
        <v>156467526.34</v>
      </c>
      <c r="D17" s="161">
        <f>+SUM(D8:D16)</f>
        <v>45824183.59</v>
      </c>
      <c r="E17" s="161">
        <f>+SUM(E8:E16)</f>
        <v>33411446.839999996</v>
      </c>
      <c r="F17" s="161">
        <f>+SUM(F8:F16)</f>
        <v>168880263.09</v>
      </c>
      <c r="G17" s="104"/>
    </row>
    <row r="18" spans="1:7" ht="26.25" customHeight="1">
      <c r="A18" s="109" t="s">
        <v>81</v>
      </c>
      <c r="B18" s="116">
        <v>146</v>
      </c>
      <c r="C18" s="153"/>
      <c r="D18" s="153"/>
      <c r="E18" s="153"/>
      <c r="F18" s="153">
        <f>+C18+D18-E18</f>
        <v>0</v>
      </c>
      <c r="G18" s="104"/>
    </row>
    <row r="19" spans="1:7" ht="26.25" customHeight="1">
      <c r="A19" s="109" t="s">
        <v>82</v>
      </c>
      <c r="B19" s="116">
        <v>147</v>
      </c>
      <c r="C19" s="153"/>
      <c r="D19" s="153"/>
      <c r="E19" s="153"/>
      <c r="F19" s="153">
        <f>+C19+D19-E19</f>
        <v>0</v>
      </c>
      <c r="G19" s="104"/>
    </row>
    <row r="20" spans="1:7" ht="48" customHeight="1">
      <c r="A20" s="106" t="s">
        <v>210</v>
      </c>
      <c r="B20" s="116">
        <v>148</v>
      </c>
      <c r="C20" s="161">
        <f>+C18+C19</f>
        <v>0</v>
      </c>
      <c r="D20" s="161">
        <f>+D18+D19</f>
        <v>0</v>
      </c>
      <c r="E20" s="161">
        <f>+E18+E19</f>
        <v>0</v>
      </c>
      <c r="F20" s="161">
        <f>+F18+F19</f>
        <v>0</v>
      </c>
      <c r="G20" s="104"/>
    </row>
    <row r="21" spans="1:7" ht="46.5" customHeight="1">
      <c r="A21" s="106" t="s">
        <v>211</v>
      </c>
      <c r="B21" s="116">
        <v>149</v>
      </c>
      <c r="C21" s="161">
        <f>+C17+C20</f>
        <v>156467526.34</v>
      </c>
      <c r="D21" s="161">
        <f>+D17+D20</f>
        <v>45824183.59</v>
      </c>
      <c r="E21" s="161">
        <f>+E17+E20</f>
        <v>33411446.839999996</v>
      </c>
      <c r="F21" s="161">
        <f>+F17+F20</f>
        <v>168880263.09</v>
      </c>
      <c r="G21" s="104"/>
    </row>
    <row r="23" ht="14.25">
      <c r="F23" s="103"/>
    </row>
    <row r="25" ht="14.25">
      <c r="F25" s="103"/>
    </row>
    <row r="27" ht="14.25">
      <c r="F27" s="103"/>
    </row>
    <row r="28" ht="14.25">
      <c r="F28" s="103"/>
    </row>
    <row r="29" ht="14.25">
      <c r="F29" s="103"/>
    </row>
    <row r="30" ht="14.25">
      <c r="F30" s="103"/>
    </row>
    <row r="31" ht="14.25">
      <c r="F31" s="103"/>
    </row>
    <row r="32" ht="14.25">
      <c r="F32" s="103"/>
    </row>
    <row r="34" ht="14.25">
      <c r="F34" s="103"/>
    </row>
  </sheetData>
  <sheetProtection/>
  <protectedRanges>
    <protectedRange sqref="A3:G4" name="Range1_1"/>
  </protectedRanges>
  <mergeCells count="4">
    <mergeCell ref="A5:F5"/>
    <mergeCell ref="A2:F2"/>
    <mergeCell ref="A3:G3"/>
    <mergeCell ref="A4:G4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1.7109375" style="124" customWidth="1"/>
    <col min="2" max="6" width="14.7109375" style="124" customWidth="1"/>
    <col min="7" max="16384" width="9.140625" style="124" customWidth="1"/>
  </cols>
  <sheetData>
    <row r="1" spans="1:7" s="123" customFormat="1" ht="15">
      <c r="A1" s="185" t="s">
        <v>83</v>
      </c>
      <c r="B1" s="185"/>
      <c r="C1" s="185"/>
      <c r="D1" s="185"/>
      <c r="E1" s="185"/>
      <c r="F1" s="185"/>
      <c r="G1" s="122"/>
    </row>
    <row r="2" spans="1:6" ht="15">
      <c r="A2" s="183" t="s">
        <v>84</v>
      </c>
      <c r="B2" s="183"/>
      <c r="C2" s="183"/>
      <c r="D2" s="183"/>
      <c r="E2" s="183"/>
      <c r="F2" s="183"/>
    </row>
    <row r="3" spans="1:6" ht="14.25">
      <c r="A3" s="184"/>
      <c r="B3" s="184"/>
      <c r="C3" s="184"/>
      <c r="D3" s="184"/>
      <c r="E3" s="184"/>
      <c r="F3" s="184"/>
    </row>
    <row r="4" spans="1:6" ht="15">
      <c r="A4" s="183" t="s">
        <v>86</v>
      </c>
      <c r="B4" s="183"/>
      <c r="C4" s="183"/>
      <c r="D4" s="183"/>
      <c r="E4" s="183"/>
      <c r="F4" s="183"/>
    </row>
    <row r="5" spans="1:6" ht="15">
      <c r="A5" s="183" t="s">
        <v>85</v>
      </c>
      <c r="B5" s="183"/>
      <c r="C5" s="183"/>
      <c r="D5" s="183"/>
      <c r="E5" s="183"/>
      <c r="F5" s="183"/>
    </row>
    <row r="6" spans="1:6" ht="15">
      <c r="A6" s="183" t="s">
        <v>87</v>
      </c>
      <c r="B6" s="183"/>
      <c r="C6" s="183"/>
      <c r="D6" s="183"/>
      <c r="E6" s="183"/>
      <c r="F6" s="183"/>
    </row>
    <row r="7" spans="1:6" ht="14.25">
      <c r="A7" s="184"/>
      <c r="B7" s="184"/>
      <c r="C7" s="184"/>
      <c r="D7" s="184"/>
      <c r="E7" s="184"/>
      <c r="F7" s="184"/>
    </row>
    <row r="8" spans="1:6" ht="14.25">
      <c r="A8" s="184"/>
      <c r="B8" s="184"/>
      <c r="C8" s="184"/>
      <c r="D8" s="184"/>
      <c r="E8" s="184"/>
      <c r="F8" s="184"/>
    </row>
    <row r="9" spans="1:6" ht="69" customHeight="1">
      <c r="A9" s="186" t="s">
        <v>88</v>
      </c>
      <c r="B9" s="187"/>
      <c r="C9" s="187"/>
      <c r="D9" s="187"/>
      <c r="E9" s="187"/>
      <c r="F9" s="188"/>
    </row>
    <row r="10" spans="1:6" ht="69" customHeight="1">
      <c r="A10" s="186" t="s">
        <v>150</v>
      </c>
      <c r="B10" s="187"/>
      <c r="C10" s="187"/>
      <c r="D10" s="187"/>
      <c r="E10" s="187"/>
      <c r="F10" s="188"/>
    </row>
    <row r="11" spans="1:6" ht="69" customHeight="1">
      <c r="A11" s="189" t="s">
        <v>151</v>
      </c>
      <c r="B11" s="190"/>
      <c r="C11" s="190"/>
      <c r="D11" s="190"/>
      <c r="E11" s="190"/>
      <c r="F11" s="191"/>
    </row>
    <row r="12" spans="1:6" ht="69" customHeight="1">
      <c r="A12" s="189" t="s">
        <v>152</v>
      </c>
      <c r="B12" s="190"/>
      <c r="C12" s="190"/>
      <c r="D12" s="190"/>
      <c r="E12" s="190"/>
      <c r="F12" s="191"/>
    </row>
    <row r="13" spans="1:6" ht="14.25">
      <c r="A13" s="125"/>
      <c r="B13" s="125"/>
      <c r="C13" s="125"/>
      <c r="D13" s="125"/>
      <c r="E13" s="125"/>
      <c r="F13" s="125"/>
    </row>
    <row r="14" spans="1:6" ht="14.25">
      <c r="A14" s="125"/>
      <c r="B14" s="125"/>
      <c r="C14" s="125"/>
      <c r="D14" s="125"/>
      <c r="E14" s="125"/>
      <c r="F14" s="125"/>
    </row>
    <row r="15" spans="1:6" ht="14.25">
      <c r="A15" s="125"/>
      <c r="B15" s="125"/>
      <c r="C15" s="125"/>
      <c r="D15" s="125"/>
      <c r="E15" s="125"/>
      <c r="F15" s="125"/>
    </row>
    <row r="16" spans="1:6" ht="14.25">
      <c r="A16" s="125"/>
      <c r="B16" s="125"/>
      <c r="C16" s="125"/>
      <c r="D16" s="125"/>
      <c r="E16" s="125"/>
      <c r="F16" s="125"/>
    </row>
    <row r="17" spans="1:6" ht="14.25">
      <c r="A17" s="125" t="s">
        <v>89</v>
      </c>
      <c r="B17" s="125"/>
      <c r="C17" s="125"/>
      <c r="D17" s="125" t="s">
        <v>90</v>
      </c>
      <c r="E17" s="125"/>
      <c r="F17" s="125"/>
    </row>
    <row r="18" spans="1:6" ht="14.25">
      <c r="A18" s="125" t="s">
        <v>91</v>
      </c>
      <c r="B18" s="125"/>
      <c r="C18" s="125"/>
      <c r="D18" s="125"/>
      <c r="E18" s="125"/>
      <c r="F18" s="125"/>
    </row>
    <row r="19" spans="1:6" ht="14.25">
      <c r="A19" s="125" t="s">
        <v>92</v>
      </c>
      <c r="B19" s="125"/>
      <c r="C19" s="125"/>
      <c r="D19" s="125" t="s">
        <v>93</v>
      </c>
      <c r="E19" s="125"/>
      <c r="F19" s="125"/>
    </row>
    <row r="20" spans="1:6" ht="14.25">
      <c r="A20" s="125"/>
      <c r="B20" s="125"/>
      <c r="C20" s="125"/>
      <c r="D20" s="125"/>
      <c r="E20" s="125"/>
      <c r="F20" s="125"/>
    </row>
  </sheetData>
  <sheetProtection/>
  <mergeCells count="12">
    <mergeCell ref="A7:F7"/>
    <mergeCell ref="A8:F8"/>
    <mergeCell ref="A9:F9"/>
    <mergeCell ref="A10:F10"/>
    <mergeCell ref="A11:F11"/>
    <mergeCell ref="A12:F12"/>
    <mergeCell ref="A2:F2"/>
    <mergeCell ref="A4:F4"/>
    <mergeCell ref="A3:F3"/>
    <mergeCell ref="A1:F1"/>
    <mergeCell ref="A6:F6"/>
    <mergeCell ref="A5:F5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SL-Invest</cp:lastModifiedBy>
  <cp:lastPrinted>2011-03-28T11:18:28Z</cp:lastPrinted>
  <dcterms:created xsi:type="dcterms:W3CDTF">2003-11-19T18:37:16Z</dcterms:created>
  <dcterms:modified xsi:type="dcterms:W3CDTF">2012-04-30T08:38:55Z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