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3510" windowWidth="20520" windowHeight="405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  <definedName name="_xlnm.Print_Titles" localSheetId="1">Bilanca!$1:$6</definedName>
  </definedNames>
  <calcPr calcId="145621"/>
</workbook>
</file>

<file path=xl/calcChain.xml><?xml version="1.0" encoding="utf-8"?>
<calcChain xmlns="http://schemas.openxmlformats.org/spreadsheetml/2006/main">
  <c r="L34" i="18" l="1"/>
  <c r="L35" i="18"/>
  <c r="L29" i="18"/>
  <c r="L28" i="18"/>
  <c r="K78" i="19" l="1"/>
  <c r="K39" i="20" l="1"/>
  <c r="K26" i="20"/>
  <c r="J39" i="20"/>
  <c r="J26" i="20"/>
  <c r="J17" i="20"/>
  <c r="K17" i="20" l="1"/>
  <c r="K12" i="20"/>
  <c r="K57" i="18" l="1"/>
  <c r="K66" i="18" s="1"/>
  <c r="L9" i="18" l="1"/>
  <c r="L37" i="18"/>
  <c r="L8" i="18" l="1"/>
  <c r="K82" i="19" l="1"/>
  <c r="J31" i="20" l="1"/>
  <c r="J13" i="20"/>
  <c r="J18" i="20"/>
  <c r="J27" i="20"/>
  <c r="J38" i="20"/>
  <c r="J44" i="20"/>
  <c r="K22" i="18"/>
  <c r="J45" i="20" l="1"/>
  <c r="J46" i="20"/>
  <c r="J32" i="20"/>
  <c r="J33" i="20"/>
  <c r="J20" i="20"/>
  <c r="J19" i="20"/>
  <c r="J50" i="20" l="1"/>
  <c r="J51" i="20"/>
  <c r="J47" i="20"/>
  <c r="J48" i="20"/>
  <c r="J52" i="20" l="1"/>
  <c r="J57" i="18"/>
  <c r="J66" i="18" s="1"/>
  <c r="M12" i="18"/>
  <c r="J26" i="19"/>
  <c r="K79" i="19" l="1"/>
  <c r="K9" i="19"/>
  <c r="J9" i="19" l="1"/>
  <c r="K12" i="18" l="1"/>
  <c r="M57" i="18" l="1"/>
  <c r="K72" i="19" l="1"/>
  <c r="J100" i="19" l="1"/>
  <c r="J90" i="19"/>
  <c r="J86" i="19"/>
  <c r="J82" i="19"/>
  <c r="J79" i="19"/>
  <c r="J72" i="19"/>
  <c r="J56" i="19"/>
  <c r="J49" i="19"/>
  <c r="J41" i="19"/>
  <c r="J35" i="19"/>
  <c r="J16" i="19"/>
  <c r="J69" i="19" l="1"/>
  <c r="J114" i="19" s="1"/>
  <c r="J40" i="19"/>
  <c r="J8" i="19"/>
  <c r="J12" i="18"/>
  <c r="J66" i="19" l="1"/>
  <c r="K44" i="20"/>
  <c r="K38" i="20"/>
  <c r="K31" i="20"/>
  <c r="K27" i="20"/>
  <c r="K46" i="20" l="1"/>
  <c r="K33" i="20"/>
  <c r="K45" i="20"/>
  <c r="J14" i="17"/>
  <c r="K14" i="17"/>
  <c r="K32" i="20"/>
  <c r="K18" i="20"/>
  <c r="K13" i="20"/>
  <c r="K100" i="19"/>
  <c r="K69" i="19"/>
  <c r="K19" i="20" l="1"/>
  <c r="K50" i="20" s="1"/>
  <c r="L12" i="18"/>
  <c r="M33" i="18" l="1"/>
  <c r="L57" i="18"/>
  <c r="M66" i="18"/>
  <c r="K7" i="18"/>
  <c r="K27" i="18"/>
  <c r="K16" i="18"/>
  <c r="K33" i="18"/>
  <c r="L7" i="18"/>
  <c r="L27" i="18"/>
  <c r="L16" i="18"/>
  <c r="L22" i="18"/>
  <c r="L33" i="18"/>
  <c r="M7" i="18"/>
  <c r="M27" i="18"/>
  <c r="M16" i="18"/>
  <c r="M22" i="18"/>
  <c r="K53" i="21"/>
  <c r="J53" i="21"/>
  <c r="K19" i="21"/>
  <c r="K12" i="21"/>
  <c r="K32" i="21"/>
  <c r="K28" i="21"/>
  <c r="K45" i="21"/>
  <c r="K39" i="21"/>
  <c r="J19" i="21"/>
  <c r="J12" i="21"/>
  <c r="J32" i="21"/>
  <c r="J28" i="21"/>
  <c r="J45" i="21"/>
  <c r="J39" i="21"/>
  <c r="K86" i="19"/>
  <c r="K90" i="19"/>
  <c r="K16" i="19"/>
  <c r="K26" i="19"/>
  <c r="K35" i="19"/>
  <c r="K41" i="19"/>
  <c r="K49" i="19"/>
  <c r="K56" i="19"/>
  <c r="J7" i="18"/>
  <c r="J27" i="18"/>
  <c r="J16" i="18"/>
  <c r="J22" i="18"/>
  <c r="J33" i="18"/>
  <c r="J21" i="17"/>
  <c r="K21" i="17"/>
  <c r="K20" i="20"/>
  <c r="L66" i="18" l="1"/>
  <c r="K48" i="20"/>
  <c r="K51" i="20"/>
  <c r="K52" i="20" s="1"/>
  <c r="K46" i="21"/>
  <c r="K20" i="21"/>
  <c r="J47" i="21"/>
  <c r="J21" i="21"/>
  <c r="J49" i="21" s="1"/>
  <c r="K34" i="21"/>
  <c r="M10" i="18"/>
  <c r="M43" i="18" s="1"/>
  <c r="K47" i="20"/>
  <c r="L10" i="18"/>
  <c r="L42" i="18"/>
  <c r="K42" i="18"/>
  <c r="J42" i="18"/>
  <c r="J10" i="18"/>
  <c r="K10" i="18"/>
  <c r="K43" i="18" s="1"/>
  <c r="K40" i="19"/>
  <c r="K8" i="19"/>
  <c r="K114" i="19"/>
  <c r="J34" i="21"/>
  <c r="K47" i="21"/>
  <c r="K21" i="21"/>
  <c r="J46" i="21"/>
  <c r="J20" i="21"/>
  <c r="K33" i="21"/>
  <c r="M42" i="18"/>
  <c r="J33" i="21"/>
  <c r="M46" i="18" l="1"/>
  <c r="J43" i="18"/>
  <c r="L43" i="18"/>
  <c r="K48" i="21"/>
  <c r="K44" i="18"/>
  <c r="K48" i="18" s="1"/>
  <c r="K46" i="18"/>
  <c r="K45" i="18"/>
  <c r="K66" i="19"/>
  <c r="K49" i="21"/>
  <c r="M44" i="18"/>
  <c r="M48" i="18" s="1"/>
  <c r="J48" i="21"/>
  <c r="K49" i="18" l="1"/>
  <c r="M50" i="18"/>
  <c r="J44" i="18"/>
  <c r="J48" i="18" s="1"/>
  <c r="J50" i="18" s="1"/>
  <c r="J45" i="18"/>
  <c r="J46" i="18"/>
  <c r="L44" i="18"/>
  <c r="L45" i="18"/>
  <c r="L46" i="18"/>
  <c r="K56" i="18"/>
  <c r="K67" i="18" s="1"/>
  <c r="K50" i="18"/>
  <c r="M56" i="18"/>
  <c r="M67" i="18" s="1"/>
  <c r="M49" i="18"/>
  <c r="L48" i="18" l="1"/>
  <c r="L49" i="18" s="1"/>
  <c r="J49" i="18"/>
  <c r="J56" i="18"/>
  <c r="L56" i="18" l="1"/>
  <c r="L50" i="18"/>
  <c r="J67" i="18"/>
  <c r="L67" i="18"/>
</calcChain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<sst xmlns="http://schemas.openxmlformats.org/spreadsheetml/2006/main" count="397" uniqueCount="345">
  <si>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</si>
  <si>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</si>
  <si>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</si>
  <si>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</si>
  <si>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</si>
  <si>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</si>
  <si>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</si>
  <si>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</si>
  <si>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</si>
  <si>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</si>
  <si>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</si>
  <si>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</si>
  <si>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</si>
  <si>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</si>
  <si>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</si>
  <si>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</si>
  <si>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</si>
  <si>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</si>
  <si>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</si>
  <si>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</si>
  <si>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</si>
  <si>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</si>
  <si>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</si>
  <si>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</si>
  <si>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</si>
  <si>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</si>
  <si>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</si>
  <si>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</si>
  <si>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</si>
  <si>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</si>
  <si>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</si>
  <si>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</si>
  <si>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</si>
  <si>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</si>
  <si>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</si>
  <si>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</si>
  <si>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</si>
  <si>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</si>
  <si>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</si>
  <si>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</si>
  <si>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</si>
  <si>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</si>
  <si>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</si>
  <si>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</si>
  <si>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</si>
  <si>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</si>
  <si>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</si>
  <si>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</si>
  <si>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</si>
  <si>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</si>
  <si>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</si>
  <si>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</si>
  <si>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</si>
  <si>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</si>
  <si>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</si>
  <si>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</si>
  <si>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</si>
  <si>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</si>
  <si>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</si>
  <si>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</si>
  <si>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</si>
  <si>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</si>
  <si>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</si>
  <si>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</si>
  <si>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</si>
  <si>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</si>
  <si>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</si>
  <si>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</si>
  <si>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</si>
  <si>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</si>
  <si>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</si>
  <si>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</si>
  <si>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</si>
  <si>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</si>
  <si>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</si>
  <si>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</si>
  <si>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</si>
  <si>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</si>
  <si>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</si>
  <si>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</si>
  <si>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</si>
  <si>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</si>
  <si>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</si>
  <si>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</si>
  <si>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</si>
  <si>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</si>
  <si>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</si>
  <si>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</si>
  <si>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</si>
  <si>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</si>
  <si>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</si>
  <si>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</si>
  <si>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</si>
  <si>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</si>
  <si>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</si>
  <si>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</si>
  <si>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</si>
  <si>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</si>
  <si>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</si>
  <si>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</si>
  <si>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</si>
  <si>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</si>
  <si>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</si>
  <si>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</si>
  <si>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</si>
  <si>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</si>
  <si>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</si>
  <si>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</si>
  <si>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</si>
  <si>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</si>
  <si>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</si>
  <si>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</si>
  <si>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</si>
  <si>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</si>
  <si>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</si>
  <si>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</si>
  <si>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</si>
  <si>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</si>
  <si>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</si>
  <si>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</si>
  <si>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</si>
  <si>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</si>
  <si>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</si>
  <si>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</si>
  <si>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</si>
  <si>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</si>
  <si>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</si>
  <si>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</si>
  <si>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</si>
  <si>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</si>
  <si>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</si>
  <si>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</si>
  <si>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</si>
  <si>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</si>
  <si>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</si>
  <si>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</si>
  <si>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</si>
  <si>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</si>
  <si>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</si>
  <si>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</si>
  <si>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</si>
  <si>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</si>
  <si>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</si>
  <si>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</si>
  <si>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</si>
  <si>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</si>
  <si>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</si>
  <si>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</si>
  <si>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</si>
  <si>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</si>
  <si>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</si>
  <si>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</si>
  <si>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</si>
  <si>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</si>
  <si>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</si>
  <si>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</si>
  <si>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</si>
  <si>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</si>
  <si>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</si>
  <si>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</si>
  <si>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</si>
  <si>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</si>
  <si>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</si>
  <si>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</si>
  <si>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</si>
  <si>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</si>
  <si>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</si>
  <si>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</si>
  <si>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</si>
  <si>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</si>
  <si>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</si>
  <si>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</si>
  <si>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</si>
  <si>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</si>
  <si>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</si>
  <si>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</si>
  <si>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</si>
  <si>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</si>
  <si>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</si>
  <si>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</si>
  <si>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</si>
  <si>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</si>
  <si>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</si>
  <si>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</si>
  <si>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</si>
  <si>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</si>
  <si>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</si>
  <si>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</si>
  <si>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</si>
  <si>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</si>
  <si>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</si>
  <si>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</si>
  <si>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</si>
  <si>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</si>
  <si>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</si>
  <si>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</si>
  <si>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</si>
  <si>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</si>
  <si>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</si>
  <si>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</si>
  <si>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</si>
  <si>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</si>
  <si>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</si>
  <si>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</si>
  <si>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</si>
  <si>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</si>
  <si>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</si>
  <si>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</si>
  <si>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</si>
  <si>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</si>
  <si>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</si>
  <si>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</si>
  <si>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</si>
  <si>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</si>
  <si>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</si>
  <si>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</si>
  <si>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</si>
  <si>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</si>
  <si>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</si>
  <si>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</si>
  <si>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</si>
  <si>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</si>
  <si>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</si>
  <si>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</si>
  <si>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</si>
  <si>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</si>
  <si>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</si>
  <si>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</si>
  <si>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</si>
  <si>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</si>
  <si>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</si>
  <si>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</si>
  <si>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</si>
  <si>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</si>
  <si>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</si>
  <si>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</si>
  <si>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</si>
  <si>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</si>
  <si>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</si>
  <si>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</si>
  <si>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</si>
  <si>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</si>
  <si>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</si>
  <si>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</si>
  <si>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</si>
  <si>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</si>
  <si>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</si>
  <si>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</si>
  <si>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</si>
  <si>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</si>
  <si>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</si>
  <si>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</si>
  <si>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</si>
  <si>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</si>
  <si>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</si>
  <si>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</si>
  <si>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</si>
  <si>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</si>
  <si>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</si>
  <si>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</si>
  <si>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</si>
  <si>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</si>
  <si>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</si>
  <si>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</si>
  <si>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</si>
  <si>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</si>
  <si>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</si>
  <si>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</si>
  <si>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</si>
  <si>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</si>
  <si>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</si>
  <si>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</si>
  <si>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</si>
  <si>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</si>
  <si>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</si>
  <si>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</si>
  <si>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</si>
  <si>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</si>
  <si>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</si>
  <si>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</si>
  <si>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</si>
  <si>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</si>
  <si>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</si>
  <si>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</si>
  <si>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</si>
  <si>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</si>
  <si>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</si>
  <si>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</si>
  <si>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</si>
  <si>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</si>
  <si>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</si>
  <si>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</si>
  <si>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</si>
  <si>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</si>
  <si>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</si>
  <si>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</si>
  <si>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</si>
  <si>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</si>
  <si>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</si>
  <si>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</si>
  <si>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</si>
  <si>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</si>
  <si>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</si>
  <si>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</si>
  <si>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</si>
  <si>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</si>
  <si>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</si>
  <si>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</si>
  <si>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</si>
  <si>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</si>
  <si>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</si>
  <si>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</si>
  <si>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</si>
  <si>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</si>
  <si>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</si>
  <si>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</si>
  <si>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</si>
  <si>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</si>
  <si>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</si>
  <si>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</si>
  <si>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</si>
  <si>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</si>
  <si>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</si>
  <si>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</si>
  <si>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</si>
  <si>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</si>
  <si>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 prehrambena i farmaceutska industrija d.d.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</si>
  <si>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</si>
  <si>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</si>
  <si>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</si>
  <si>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</si>
  <si>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</si>
  <si>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</si>
  <si>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</si>
  <si>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</si>
  <si>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</si>
  <si>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</si>
  <si>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</si>
  <si>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</si>
  <si>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>Obveznik:  SAPONIA D.D. OSIJEK</t>
  </si>
  <si>
    <t xml:space="preserve">Obveznik:  SAPONIA D.D. OSIJEK </t>
  </si>
  <si>
    <t>01.01.2018.</t>
  </si>
  <si>
    <t>stanje na dan  31.12.2018.</t>
  </si>
  <si>
    <t>u razdoblju 01.01.2018. do 31.12.2018.</t>
  </si>
  <si>
    <t>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</si>
</sst>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14" fontId="9" fillId="0" borderId="0" xfId="4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7" fillId="0" borderId="0" xfId="0" applyNumberFormat="1" applyFont="1" applyFill="1"/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dana.rajhl@saponia.hr" TargetMode="External"/><Relationship Id="rId2" Type="http://schemas.openxmlformats.org/officeDocument/2006/relationships/hyperlink" Target="http://www.saponia.hr/" TargetMode="External"/><Relationship Id="rId1" Type="http://schemas.openxmlformats.org/officeDocument/2006/relationships/hyperlink" Target="mailto:saponia@saponi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F10" sqref="F10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5.28515625" style="11" customWidth="1"/>
    <col min="10" max="16384" width="9.140625" style="11"/>
  </cols>
  <sheetData>
    <row r="1" spans="1:12" ht="15.75">
      <c r="A1" s="181" t="s">
        <v>248</v>
      </c>
      <c r="B1" s="182"/>
      <c r="C1" s="182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148" t="s">
        <v>249</v>
      </c>
      <c r="B2" s="149"/>
      <c r="C2" s="149"/>
      <c r="D2" s="150"/>
      <c r="E2" s="119">
        <v>43101</v>
      </c>
      <c r="F2" s="12"/>
      <c r="G2" s="13" t="s">
        <v>250</v>
      </c>
      <c r="H2" s="119">
        <v>43465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51" t="s">
        <v>317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38" t="s">
        <v>251</v>
      </c>
      <c r="B6" s="139"/>
      <c r="C6" s="146" t="s">
        <v>323</v>
      </c>
      <c r="D6" s="147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154" t="s">
        <v>252</v>
      </c>
      <c r="B8" s="155"/>
      <c r="C8" s="146" t="s">
        <v>324</v>
      </c>
      <c r="D8" s="147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43" t="s">
        <v>253</v>
      </c>
      <c r="B10" s="144"/>
      <c r="C10" s="146" t="s">
        <v>325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38" t="s">
        <v>254</v>
      </c>
      <c r="B12" s="139"/>
      <c r="C12" s="140" t="s">
        <v>326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38" t="s">
        <v>255</v>
      </c>
      <c r="B14" s="139"/>
      <c r="C14" s="156">
        <v>31000</v>
      </c>
      <c r="D14" s="157"/>
      <c r="E14" s="16"/>
      <c r="F14" s="140" t="s">
        <v>327</v>
      </c>
      <c r="G14" s="141"/>
      <c r="H14" s="141"/>
      <c r="I14" s="142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38" t="s">
        <v>256</v>
      </c>
      <c r="B16" s="139"/>
      <c r="C16" s="140" t="s">
        <v>328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38" t="s">
        <v>257</v>
      </c>
      <c r="B18" s="139"/>
      <c r="C18" s="158" t="s">
        <v>329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38" t="s">
        <v>258</v>
      </c>
      <c r="B20" s="139"/>
      <c r="C20" s="158" t="s">
        <v>330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38" t="s">
        <v>259</v>
      </c>
      <c r="B22" s="139"/>
      <c r="C22" s="120">
        <v>312</v>
      </c>
      <c r="D22" s="140" t="s">
        <v>327</v>
      </c>
      <c r="E22" s="161"/>
      <c r="F22" s="162"/>
      <c r="G22" s="138"/>
      <c r="H22" s="163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38" t="s">
        <v>260</v>
      </c>
      <c r="B24" s="139"/>
      <c r="C24" s="120">
        <v>14</v>
      </c>
      <c r="D24" s="140" t="s">
        <v>331</v>
      </c>
      <c r="E24" s="161"/>
      <c r="F24" s="161"/>
      <c r="G24" s="162"/>
      <c r="H24" s="51" t="s">
        <v>261</v>
      </c>
      <c r="I24" s="130">
        <v>867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38" t="s">
        <v>262</v>
      </c>
      <c r="B26" s="139"/>
      <c r="C26" s="121" t="s">
        <v>332</v>
      </c>
      <c r="D26" s="25"/>
      <c r="E26" s="33"/>
      <c r="F26" s="24"/>
      <c r="G26" s="164" t="s">
        <v>263</v>
      </c>
      <c r="H26" s="139"/>
      <c r="I26" s="122" t="s">
        <v>333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72"/>
      <c r="B30" s="173"/>
      <c r="C30" s="173"/>
      <c r="D30" s="174"/>
      <c r="E30" s="172"/>
      <c r="F30" s="173"/>
      <c r="G30" s="173"/>
      <c r="H30" s="146"/>
      <c r="I30" s="147"/>
      <c r="J30" s="10"/>
      <c r="K30" s="10"/>
      <c r="L30" s="10"/>
    </row>
    <row r="31" spans="1:12">
      <c r="A31" s="93"/>
      <c r="B31" s="22"/>
      <c r="C31" s="21"/>
      <c r="D31" s="175"/>
      <c r="E31" s="175"/>
      <c r="F31" s="175"/>
      <c r="G31" s="176"/>
      <c r="H31" s="16"/>
      <c r="I31" s="100"/>
      <c r="J31" s="10"/>
      <c r="K31" s="10"/>
      <c r="L31" s="10"/>
    </row>
    <row r="32" spans="1:12">
      <c r="A32" s="172"/>
      <c r="B32" s="173"/>
      <c r="C32" s="173"/>
      <c r="D32" s="174"/>
      <c r="E32" s="172"/>
      <c r="F32" s="173"/>
      <c r="G32" s="173"/>
      <c r="H32" s="146"/>
      <c r="I32" s="147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72"/>
      <c r="B34" s="173"/>
      <c r="C34" s="173"/>
      <c r="D34" s="174"/>
      <c r="E34" s="172"/>
      <c r="F34" s="173"/>
      <c r="G34" s="173"/>
      <c r="H34" s="146"/>
      <c r="I34" s="147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72"/>
      <c r="B36" s="173"/>
      <c r="C36" s="173"/>
      <c r="D36" s="174"/>
      <c r="E36" s="172"/>
      <c r="F36" s="173"/>
      <c r="G36" s="173"/>
      <c r="H36" s="146"/>
      <c r="I36" s="147"/>
      <c r="J36" s="10"/>
      <c r="K36" s="10"/>
      <c r="L36" s="10"/>
    </row>
    <row r="37" spans="1:12">
      <c r="A37" s="102"/>
      <c r="B37" s="30"/>
      <c r="C37" s="184"/>
      <c r="D37" s="185"/>
      <c r="E37" s="16"/>
      <c r="F37" s="184"/>
      <c r="G37" s="185"/>
      <c r="H37" s="16"/>
      <c r="I37" s="94"/>
      <c r="J37" s="10"/>
      <c r="K37" s="10"/>
      <c r="L37" s="10"/>
    </row>
    <row r="38" spans="1:12">
      <c r="A38" s="172"/>
      <c r="B38" s="173"/>
      <c r="C38" s="173"/>
      <c r="D38" s="174"/>
      <c r="E38" s="172"/>
      <c r="F38" s="173"/>
      <c r="G38" s="173"/>
      <c r="H38" s="146"/>
      <c r="I38" s="147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72"/>
      <c r="B40" s="173"/>
      <c r="C40" s="173"/>
      <c r="D40" s="174"/>
      <c r="E40" s="172"/>
      <c r="F40" s="173"/>
      <c r="G40" s="173"/>
      <c r="H40" s="146"/>
      <c r="I40" s="147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43" t="s">
        <v>267</v>
      </c>
      <c r="B44" s="177"/>
      <c r="C44" s="146"/>
      <c r="D44" s="147"/>
      <c r="E44" s="26"/>
      <c r="F44" s="140"/>
      <c r="G44" s="173"/>
      <c r="H44" s="173"/>
      <c r="I44" s="174"/>
      <c r="J44" s="10"/>
      <c r="K44" s="10"/>
      <c r="L44" s="10"/>
    </row>
    <row r="45" spans="1:12">
      <c r="A45" s="102"/>
      <c r="B45" s="30"/>
      <c r="C45" s="184"/>
      <c r="D45" s="185"/>
      <c r="E45" s="16"/>
      <c r="F45" s="184"/>
      <c r="G45" s="186"/>
      <c r="H45" s="35"/>
      <c r="I45" s="106"/>
      <c r="J45" s="10"/>
      <c r="K45" s="10"/>
      <c r="L45" s="10"/>
    </row>
    <row r="46" spans="1:12">
      <c r="A46" s="143" t="s">
        <v>268</v>
      </c>
      <c r="B46" s="177"/>
      <c r="C46" s="140" t="s">
        <v>334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43" t="s">
        <v>270</v>
      </c>
      <c r="B48" s="177"/>
      <c r="C48" s="178" t="s">
        <v>335</v>
      </c>
      <c r="D48" s="179"/>
      <c r="E48" s="180"/>
      <c r="F48" s="16"/>
      <c r="G48" s="51" t="s">
        <v>271</v>
      </c>
      <c r="H48" s="178" t="s">
        <v>336</v>
      </c>
      <c r="I48" s="180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43" t="s">
        <v>257</v>
      </c>
      <c r="B50" s="177"/>
      <c r="C50" s="191" t="s">
        <v>337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38" t="s">
        <v>272</v>
      </c>
      <c r="B52" s="139"/>
      <c r="C52" s="178" t="s">
        <v>338</v>
      </c>
      <c r="D52" s="179"/>
      <c r="E52" s="179"/>
      <c r="F52" s="179"/>
      <c r="G52" s="179"/>
      <c r="H52" s="179"/>
      <c r="I52" s="142"/>
      <c r="J52" s="10"/>
      <c r="K52" s="10"/>
      <c r="L52" s="10"/>
    </row>
    <row r="53" spans="1:12">
      <c r="A53" s="107"/>
      <c r="B53" s="20"/>
      <c r="C53" s="183" t="s">
        <v>273</v>
      </c>
      <c r="D53" s="183"/>
      <c r="E53" s="183"/>
      <c r="F53" s="183"/>
      <c r="G53" s="183"/>
      <c r="H53" s="183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92" t="s">
        <v>274</v>
      </c>
      <c r="C55" s="193"/>
      <c r="D55" s="193"/>
      <c r="E55" s="193"/>
      <c r="F55" s="49"/>
      <c r="G55" s="49"/>
      <c r="H55" s="49"/>
      <c r="I55" s="109"/>
      <c r="J55" s="10"/>
      <c r="K55" s="10"/>
      <c r="L55" s="10"/>
    </row>
    <row r="56" spans="1:12">
      <c r="A56" s="107"/>
      <c r="B56" s="194" t="s">
        <v>306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>
      <c r="A57" s="107"/>
      <c r="B57" s="194" t="s">
        <v>307</v>
      </c>
      <c r="C57" s="195"/>
      <c r="D57" s="195"/>
      <c r="E57" s="195"/>
      <c r="F57" s="195"/>
      <c r="G57" s="195"/>
      <c r="H57" s="195"/>
      <c r="I57" s="109"/>
      <c r="J57" s="10"/>
      <c r="K57" s="10"/>
      <c r="L57" s="10"/>
    </row>
    <row r="58" spans="1:12">
      <c r="A58" s="107"/>
      <c r="B58" s="194" t="s">
        <v>308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>
      <c r="A59" s="107"/>
      <c r="B59" s="194" t="s">
        <v>309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97" t="s">
        <v>277</v>
      </c>
      <c r="H62" s="198"/>
      <c r="I62" s="199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89"/>
      <c r="H63" s="190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51181102362204722" right="0.51181102362204722" top="0.78740157480314965" bottom="0.55118110236220474" header="0.51181102362204722" footer="0.51181102362204722"/>
  <pageSetup paperSize="9" scale="86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1"/>
  <sheetViews>
    <sheetView view="pageBreakPreview" topLeftCell="A85" zoomScale="110" zoomScaleNormal="100" zoomScaleSheetLayoutView="110" workbookViewId="0">
      <selection sqref="A1:K120"/>
    </sheetView>
  </sheetViews>
  <sheetFormatPr defaultRowHeight="12.75"/>
  <cols>
    <col min="1" max="9" width="9.140625" style="52"/>
    <col min="10" max="10" width="9.7109375" style="52" customWidth="1"/>
    <col min="11" max="11" width="9.85546875" style="52" customWidth="1"/>
    <col min="12" max="12" width="10.140625" style="52" bestFit="1" customWidth="1"/>
    <col min="13" max="16384" width="9.140625" style="52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>
      <c r="A3" s="239" t="s">
        <v>340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59</v>
      </c>
      <c r="B4" s="243"/>
      <c r="C4" s="243"/>
      <c r="D4" s="243"/>
      <c r="E4" s="243"/>
      <c r="F4" s="243"/>
      <c r="G4" s="243"/>
      <c r="H4" s="244"/>
      <c r="I4" s="58" t="s">
        <v>278</v>
      </c>
      <c r="J4" s="59" t="s">
        <v>319</v>
      </c>
      <c r="K4" s="133" t="s">
        <v>320</v>
      </c>
    </row>
    <row r="5" spans="1:11">
      <c r="A5" s="233">
        <v>1</v>
      </c>
      <c r="B5" s="233"/>
      <c r="C5" s="233"/>
      <c r="D5" s="233"/>
      <c r="E5" s="233"/>
      <c r="F5" s="233"/>
      <c r="G5" s="233"/>
      <c r="H5" s="233"/>
      <c r="I5" s="57">
        <v>2</v>
      </c>
      <c r="J5" s="56">
        <v>3</v>
      </c>
      <c r="K5" s="135">
        <v>4</v>
      </c>
    </row>
    <row r="6" spans="1:1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>
      <c r="A7" s="212" t="s">
        <v>60</v>
      </c>
      <c r="B7" s="213"/>
      <c r="C7" s="213"/>
      <c r="D7" s="213"/>
      <c r="E7" s="213"/>
      <c r="F7" s="213"/>
      <c r="G7" s="213"/>
      <c r="H7" s="232"/>
      <c r="I7" s="3">
        <v>1</v>
      </c>
      <c r="J7" s="6"/>
      <c r="K7" s="6"/>
    </row>
    <row r="8" spans="1:11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384075398</v>
      </c>
      <c r="K8" s="53">
        <f>K9+K16+K26+K35+K39</f>
        <v>300809630</v>
      </c>
    </row>
    <row r="9" spans="1:11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3">
        <f>SUM(J10:J15)</f>
        <v>260455</v>
      </c>
      <c r="K9" s="53">
        <f>SUM(K10:K15)</f>
        <v>107487</v>
      </c>
    </row>
    <row r="10" spans="1:11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260455</v>
      </c>
      <c r="K11" s="7">
        <v>107487</v>
      </c>
    </row>
    <row r="12" spans="1:11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3">
        <f>SUM(J17:J25)</f>
        <v>98710635</v>
      </c>
      <c r="K16" s="53">
        <f>SUM(K17:K25)</f>
        <v>84074500</v>
      </c>
    </row>
    <row r="17" spans="1:11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22524270</v>
      </c>
      <c r="K17" s="7">
        <v>22524270</v>
      </c>
    </row>
    <row r="18" spans="1:11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32639598</v>
      </c>
      <c r="K18" s="7">
        <v>27885553</v>
      </c>
    </row>
    <row r="19" spans="1:11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24959149</v>
      </c>
      <c r="K19" s="7">
        <v>14481836</v>
      </c>
    </row>
    <row r="20" spans="1:11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9132756</v>
      </c>
      <c r="K20" s="7">
        <v>6366305</v>
      </c>
    </row>
    <row r="21" spans="1:11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330000</v>
      </c>
      <c r="K22" s="7">
        <v>904827</v>
      </c>
    </row>
    <row r="23" spans="1:1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702335</v>
      </c>
      <c r="K23" s="7">
        <v>3489182</v>
      </c>
    </row>
    <row r="24" spans="1:1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13</v>
      </c>
      <c r="K24" s="7">
        <v>13</v>
      </c>
    </row>
    <row r="25" spans="1:1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8422514</v>
      </c>
      <c r="K25" s="7">
        <v>8422514</v>
      </c>
    </row>
    <row r="26" spans="1:11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3">
        <f>SUM(J27:J34)</f>
        <v>284719782</v>
      </c>
      <c r="K26" s="53">
        <f>SUM(K27:K34)</f>
        <v>216302368</v>
      </c>
    </row>
    <row r="27" spans="1:11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160837706</v>
      </c>
      <c r="K27" s="7">
        <v>179859714</v>
      </c>
    </row>
    <row r="28" spans="1:11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>
        <v>58948504</v>
      </c>
      <c r="K28" s="7">
        <v>35912808</v>
      </c>
    </row>
    <row r="29" spans="1:11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63644006</v>
      </c>
      <c r="K29" s="7"/>
    </row>
    <row r="30" spans="1:11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>
        <v>1289566</v>
      </c>
      <c r="K31" s="7">
        <v>529846</v>
      </c>
    </row>
    <row r="32" spans="1:11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384526</v>
      </c>
      <c r="K39" s="7">
        <v>325275</v>
      </c>
    </row>
    <row r="40" spans="1:11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410665472</v>
      </c>
      <c r="K40" s="53">
        <f>K41+K49+K56+K64</f>
        <v>375277330</v>
      </c>
    </row>
    <row r="41" spans="1:11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3">
        <f>SUM(J42:J48)</f>
        <v>59607579</v>
      </c>
      <c r="K41" s="53">
        <f>SUM(K42:K48)</f>
        <v>56217538</v>
      </c>
    </row>
    <row r="42" spans="1:11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30641571</v>
      </c>
      <c r="K42" s="7">
        <v>31779528</v>
      </c>
    </row>
    <row r="43" spans="1:11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544703</v>
      </c>
      <c r="K43" s="7">
        <v>527179</v>
      </c>
    </row>
    <row r="44" spans="1:11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>
        <v>26386811</v>
      </c>
      <c r="K44" s="7">
        <v>22394865</v>
      </c>
    </row>
    <row r="45" spans="1:11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1422146</v>
      </c>
      <c r="K45" s="7">
        <v>1203062</v>
      </c>
    </row>
    <row r="46" spans="1:11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612348</v>
      </c>
      <c r="K46" s="7">
        <v>312904</v>
      </c>
    </row>
    <row r="47" spans="1:11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2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3">
        <f>SUM(J50:J55)</f>
        <v>289722495</v>
      </c>
      <c r="K49" s="53">
        <f>SUM(K50:K55)</f>
        <v>261919165</v>
      </c>
    </row>
    <row r="50" spans="1:12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16306864</v>
      </c>
      <c r="K50" s="127">
        <v>39028062</v>
      </c>
    </row>
    <row r="51" spans="1:12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131533105</v>
      </c>
      <c r="K51" s="127">
        <v>127883415</v>
      </c>
    </row>
    <row r="52" spans="1:12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2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174688</v>
      </c>
      <c r="K53" s="7">
        <v>180977</v>
      </c>
    </row>
    <row r="54" spans="1:12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98231</v>
      </c>
      <c r="K54" s="7">
        <v>4852007</v>
      </c>
    </row>
    <row r="55" spans="1:12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141609607</v>
      </c>
      <c r="K55" s="7">
        <v>89974704</v>
      </c>
    </row>
    <row r="56" spans="1:12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3">
        <f>SUM(J57:J63)</f>
        <v>59267740</v>
      </c>
      <c r="K56" s="53">
        <f>SUM(K57:K63)</f>
        <v>52262740</v>
      </c>
      <c r="L56" s="129"/>
    </row>
    <row r="57" spans="1:12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2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34139041</v>
      </c>
      <c r="K58" s="7">
        <v>27119041</v>
      </c>
      <c r="L58" s="129"/>
    </row>
    <row r="59" spans="1:12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2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2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2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25128699</v>
      </c>
      <c r="K62" s="7">
        <v>25128699</v>
      </c>
    </row>
    <row r="63" spans="1:12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>
        <v>15000</v>
      </c>
    </row>
    <row r="64" spans="1:12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2067658</v>
      </c>
      <c r="K64" s="7">
        <v>4877887</v>
      </c>
    </row>
    <row r="65" spans="1:13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836044</v>
      </c>
      <c r="K65" s="7">
        <v>842215</v>
      </c>
    </row>
    <row r="66" spans="1:13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795576914</v>
      </c>
      <c r="K66" s="53">
        <f>K7+K8+K40+K65</f>
        <v>676929175</v>
      </c>
    </row>
    <row r="67" spans="1:13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3">
      <c r="A68" s="208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3">
      <c r="A69" s="212" t="s">
        <v>191</v>
      </c>
      <c r="B69" s="213"/>
      <c r="C69" s="213"/>
      <c r="D69" s="213"/>
      <c r="E69" s="213"/>
      <c r="F69" s="213"/>
      <c r="G69" s="213"/>
      <c r="H69" s="232"/>
      <c r="I69" s="3">
        <v>62</v>
      </c>
      <c r="J69" s="54">
        <f>J70+J71+J72+J78+J79+J82+J85</f>
        <v>448055409</v>
      </c>
      <c r="K69" s="54">
        <f>K70+K71+K72+K78+K79+K82+K85</f>
        <v>397385653</v>
      </c>
      <c r="L69" s="129"/>
      <c r="M69" s="129"/>
    </row>
    <row r="70" spans="1:13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244169200</v>
      </c>
      <c r="K70" s="7">
        <v>244169200</v>
      </c>
    </row>
    <row r="71" spans="1:13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215962</v>
      </c>
      <c r="K71" s="7">
        <v>215962</v>
      </c>
    </row>
    <row r="72" spans="1:13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3">
        <f>J73+J74-J75+J76+J77</f>
        <v>183406279</v>
      </c>
      <c r="K72" s="53">
        <f>K73+K74-K75+K76+K77</f>
        <v>205421978</v>
      </c>
    </row>
    <row r="73" spans="1:13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11301320</v>
      </c>
      <c r="K73" s="7">
        <v>12402105</v>
      </c>
    </row>
    <row r="74" spans="1:13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545380</v>
      </c>
      <c r="K74" s="7">
        <v>545380</v>
      </c>
    </row>
    <row r="75" spans="1:13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>
        <v>545380</v>
      </c>
      <c r="K75" s="7">
        <v>545380</v>
      </c>
    </row>
    <row r="76" spans="1:13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3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172104959</v>
      </c>
      <c r="K77" s="7">
        <v>193019873</v>
      </c>
    </row>
    <row r="78" spans="1:13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-1751731</v>
      </c>
      <c r="K78" s="7">
        <f>853820-2335629</f>
        <v>-1481809</v>
      </c>
    </row>
    <row r="79" spans="1:13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3">
        <f>J80-J81</f>
        <v>60446</v>
      </c>
      <c r="K79" s="53">
        <f>K80-K81</f>
        <v>-21238558</v>
      </c>
    </row>
    <row r="80" spans="1:13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60446</v>
      </c>
      <c r="K80" s="7"/>
    </row>
    <row r="81" spans="1:11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>
        <v>21238558</v>
      </c>
    </row>
    <row r="82" spans="1:11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3">
        <f>J83-J84</f>
        <v>21955253</v>
      </c>
      <c r="K82" s="126">
        <f>K83-K84</f>
        <v>-29701120</v>
      </c>
    </row>
    <row r="83" spans="1:11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21955253</v>
      </c>
      <c r="K83" s="127"/>
    </row>
    <row r="84" spans="1:11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>
        <v>29701120</v>
      </c>
    </row>
    <row r="85" spans="1:11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59234076</v>
      </c>
      <c r="K90" s="53">
        <f>SUM(K91:K99)</f>
        <v>97782765</v>
      </c>
    </row>
    <row r="91" spans="1:11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59234076</v>
      </c>
      <c r="K93" s="7">
        <v>97782765</v>
      </c>
    </row>
    <row r="94" spans="1:11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280270026</v>
      </c>
      <c r="K100" s="53">
        <f>SUM(K101:K112)</f>
        <v>176564502</v>
      </c>
    </row>
    <row r="101" spans="1:11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/>
      <c r="K101" s="7">
        <v>26238</v>
      </c>
    </row>
    <row r="102" spans="1:11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2629222</v>
      </c>
      <c r="K102" s="7"/>
    </row>
    <row r="103" spans="1:11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151536265</v>
      </c>
      <c r="K103" s="7">
        <v>62435392</v>
      </c>
    </row>
    <row r="104" spans="1:11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334939</v>
      </c>
      <c r="K104" s="7">
        <v>113929</v>
      </c>
    </row>
    <row r="105" spans="1:11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105662514</v>
      </c>
      <c r="K105" s="127">
        <v>105943377</v>
      </c>
    </row>
    <row r="106" spans="1:11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>
        <v>10800000</v>
      </c>
      <c r="K106" s="7"/>
    </row>
    <row r="107" spans="1:11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3963872</v>
      </c>
      <c r="K108" s="7">
        <v>4225795</v>
      </c>
    </row>
    <row r="109" spans="1:11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4349100</v>
      </c>
      <c r="K109" s="7">
        <v>3279214</v>
      </c>
    </row>
    <row r="110" spans="1:11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994114</v>
      </c>
      <c r="K112" s="7">
        <v>540557</v>
      </c>
    </row>
    <row r="113" spans="1:11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8017403</v>
      </c>
      <c r="K113" s="7">
        <v>5196255</v>
      </c>
    </row>
    <row r="114" spans="1:11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795576914</v>
      </c>
      <c r="K114" s="53">
        <f>K69+K86+K90+K100+K113</f>
        <v>676929175</v>
      </c>
    </row>
    <row r="115" spans="1:11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/>
      <c r="K115" s="8"/>
    </row>
    <row r="116" spans="1:11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>
      <c r="A120" s="222" t="s">
        <v>311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1">
    <dataValidation allowBlank="1" sqref="A1:XFD1048576"/>
  </dataValidations>
  <printOptions horizontalCentered="1"/>
  <pageMargins left="0.31496062992125984" right="0.15748031496062992" top="0.59055118110236227" bottom="0.39370078740157483" header="0.51181102362204722" footer="0.51181102362204722"/>
  <pageSetup paperSize="9" scale="90" fitToHeight="0" orientation="portrait" r:id="rId1"/>
  <headerFooter alignWithMargins="0"/>
  <rowBreaks count="1" manualBreakCount="1">
    <brk id="67" max="16383" man="1"/>
  </rowBreaks>
  <ignoredErrors>
    <ignoredError sqref="J100 J35 J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1"/>
  <sheetViews>
    <sheetView view="pageBreakPreview" topLeftCell="A29" zoomScale="110" zoomScaleNormal="100" zoomScaleSheetLayoutView="110" workbookViewId="0">
      <selection sqref="A1:M71"/>
    </sheetView>
  </sheetViews>
  <sheetFormatPr defaultRowHeight="12.75"/>
  <cols>
    <col min="1" max="5" width="9.140625" style="52"/>
    <col min="6" max="6" width="7.28515625" style="52" customWidth="1"/>
    <col min="7" max="7" width="7.7109375" style="52" customWidth="1"/>
    <col min="8" max="8" width="8.140625" style="52" customWidth="1"/>
    <col min="9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5" width="9.140625" style="52"/>
    <col min="16" max="16" width="10.85546875" style="52" bestFit="1" customWidth="1"/>
    <col min="17" max="16384" width="9.140625" style="52"/>
  </cols>
  <sheetData>
    <row r="1" spans="1:13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339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59" t="s">
        <v>319</v>
      </c>
      <c r="K4" s="259"/>
      <c r="L4" s="259" t="s">
        <v>320</v>
      </c>
      <c r="M4" s="259"/>
    </row>
    <row r="5" spans="1:13" ht="22.5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60" t="s">
        <v>315</v>
      </c>
      <c r="L5" s="132" t="s">
        <v>314</v>
      </c>
      <c r="M5" s="132" t="s">
        <v>315</v>
      </c>
    </row>
    <row r="6" spans="1:13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136">
        <v>5</v>
      </c>
      <c r="M6" s="60">
        <v>6</v>
      </c>
    </row>
    <row r="7" spans="1:13">
      <c r="A7" s="212" t="s">
        <v>26</v>
      </c>
      <c r="B7" s="213"/>
      <c r="C7" s="213"/>
      <c r="D7" s="213"/>
      <c r="E7" s="213"/>
      <c r="F7" s="213"/>
      <c r="G7" s="213"/>
      <c r="H7" s="232"/>
      <c r="I7" s="3">
        <v>111</v>
      </c>
      <c r="J7" s="54">
        <f>SUM(J8:J9)</f>
        <v>693795216</v>
      </c>
      <c r="K7" s="54">
        <f>SUM(K8:K9)</f>
        <v>171262826</v>
      </c>
      <c r="L7" s="54">
        <f>SUM(L8:L9)</f>
        <v>695174499</v>
      </c>
      <c r="M7" s="54">
        <f>SUM(M8:M9)</f>
        <v>168695617</v>
      </c>
    </row>
    <row r="8" spans="1:13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688782957</v>
      </c>
      <c r="K8" s="7">
        <v>169144610</v>
      </c>
      <c r="L8" s="7">
        <f>118848788+566344960</f>
        <v>685193748</v>
      </c>
      <c r="M8" s="7">
        <v>163651634</v>
      </c>
    </row>
    <row r="9" spans="1:13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5012259</v>
      </c>
      <c r="K9" s="7">
        <v>2118216</v>
      </c>
      <c r="L9" s="7">
        <f>1672084+2983462+5325206-1</f>
        <v>9980751</v>
      </c>
      <c r="M9" s="7">
        <v>5043983</v>
      </c>
    </row>
    <row r="10" spans="1:13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663962041</v>
      </c>
      <c r="K10" s="53">
        <f>K11+K12+K16+K20+K21+K22+K25+K26</f>
        <v>155520981</v>
      </c>
      <c r="L10" s="53">
        <f>L11+L12+L16+L20+L21+L22+L25+L26</f>
        <v>672701156</v>
      </c>
      <c r="M10" s="53">
        <f>M11+M12+M16+M20+M21+M22+M25+M26</f>
        <v>159594308</v>
      </c>
    </row>
    <row r="11" spans="1:13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-2538945</v>
      </c>
      <c r="K11" s="7">
        <v>-4770783</v>
      </c>
      <c r="L11" s="7">
        <v>3976740</v>
      </c>
      <c r="M11" s="7">
        <v>-2931670</v>
      </c>
    </row>
    <row r="12" spans="1:13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546909065</v>
      </c>
      <c r="K12" s="53">
        <f>SUM(K13:K15)</f>
        <v>128887405</v>
      </c>
      <c r="L12" s="53">
        <f>SUM(L13:L15)</f>
        <v>544730331</v>
      </c>
      <c r="M12" s="53">
        <f>SUM(M13:M15)</f>
        <v>129467421</v>
      </c>
    </row>
    <row r="13" spans="1:13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314737172</v>
      </c>
      <c r="K13" s="7">
        <v>79455094</v>
      </c>
      <c r="L13" s="7">
        <v>311692622</v>
      </c>
      <c r="M13" s="7">
        <v>79673363</v>
      </c>
    </row>
    <row r="14" spans="1:13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10170245</v>
      </c>
      <c r="K14" s="7">
        <v>5656888</v>
      </c>
      <c r="L14" s="7">
        <v>22513017</v>
      </c>
      <c r="M14" s="7">
        <v>6249518</v>
      </c>
    </row>
    <row r="15" spans="1:13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222001648</v>
      </c>
      <c r="K15" s="7">
        <v>43775423</v>
      </c>
      <c r="L15" s="7">
        <v>210524692</v>
      </c>
      <c r="M15" s="7">
        <v>43544540</v>
      </c>
    </row>
    <row r="16" spans="1:13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70297442</v>
      </c>
      <c r="K16" s="53">
        <f>SUM(K17:K19)</f>
        <v>17762419</v>
      </c>
      <c r="L16" s="53">
        <f>SUM(L17:L19)</f>
        <v>74745997</v>
      </c>
      <c r="M16" s="53">
        <f>SUM(M17:M19)</f>
        <v>19022213</v>
      </c>
    </row>
    <row r="17" spans="1:16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45430184</v>
      </c>
      <c r="K17" s="7">
        <v>11496271</v>
      </c>
      <c r="L17" s="7">
        <v>48139707</v>
      </c>
      <c r="M17" s="7">
        <v>12245059</v>
      </c>
    </row>
    <row r="18" spans="1:16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14673758</v>
      </c>
      <c r="K18" s="7">
        <v>3690671</v>
      </c>
      <c r="L18" s="7">
        <v>15787431</v>
      </c>
      <c r="M18" s="7">
        <v>4029479</v>
      </c>
    </row>
    <row r="19" spans="1:16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10193500</v>
      </c>
      <c r="K19" s="7">
        <v>2575477</v>
      </c>
      <c r="L19" s="7">
        <v>10818859</v>
      </c>
      <c r="M19" s="7">
        <v>2747675</v>
      </c>
    </row>
    <row r="20" spans="1:16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25555497</v>
      </c>
      <c r="K20" s="7">
        <v>6048180</v>
      </c>
      <c r="L20" s="7">
        <v>21749993</v>
      </c>
      <c r="M20" s="7">
        <v>4933808</v>
      </c>
    </row>
    <row r="21" spans="1:16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21068248</v>
      </c>
      <c r="K21" s="7">
        <v>5957761</v>
      </c>
      <c r="L21" s="7">
        <v>23982931</v>
      </c>
      <c r="M21" s="7">
        <v>6928684</v>
      </c>
    </row>
    <row r="22" spans="1:16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1860202</v>
      </c>
      <c r="K22" s="53">
        <f>SUM(K23:K24)</f>
        <v>1470701</v>
      </c>
      <c r="L22" s="53">
        <f>SUM(L23:L24)</f>
        <v>3115839</v>
      </c>
      <c r="M22" s="53">
        <f>SUM(M23:M24)</f>
        <v>2091789</v>
      </c>
    </row>
    <row r="23" spans="1:16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6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1860202</v>
      </c>
      <c r="K24" s="7">
        <v>1470701</v>
      </c>
      <c r="L24" s="7">
        <v>3115839</v>
      </c>
      <c r="M24" s="7">
        <v>2091789</v>
      </c>
    </row>
    <row r="25" spans="1:16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6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810532</v>
      </c>
      <c r="K26" s="7">
        <v>165298</v>
      </c>
      <c r="L26" s="7">
        <v>399325</v>
      </c>
      <c r="M26" s="7">
        <v>82063</v>
      </c>
    </row>
    <row r="27" spans="1:16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9724104</v>
      </c>
      <c r="K27" s="53">
        <f>SUM(K28:K32)</f>
        <v>1558398</v>
      </c>
      <c r="L27" s="53">
        <f>SUM(L28:L32)</f>
        <v>9023972</v>
      </c>
      <c r="M27" s="53">
        <f>SUM(M28:M32)</f>
        <v>1226177</v>
      </c>
      <c r="P27" s="129"/>
    </row>
    <row r="28" spans="1:16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3301540</v>
      </c>
      <c r="K28" s="7">
        <v>853616</v>
      </c>
      <c r="L28" s="7">
        <f>3075894+94722</f>
        <v>3170616</v>
      </c>
      <c r="M28" s="7">
        <v>755840</v>
      </c>
      <c r="N28" s="129"/>
    </row>
    <row r="29" spans="1:16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6422564</v>
      </c>
      <c r="K29" s="7">
        <v>704782</v>
      </c>
      <c r="L29" s="7">
        <f>1040503+4812853</f>
        <v>5853356</v>
      </c>
      <c r="M29" s="7">
        <v>470337</v>
      </c>
    </row>
    <row r="30" spans="1:16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6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6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/>
      <c r="M32" s="7"/>
    </row>
    <row r="33" spans="1:13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12333279</v>
      </c>
      <c r="K33" s="53">
        <f>SUM(K34:K37)</f>
        <v>3034390</v>
      </c>
      <c r="L33" s="53">
        <f>SUM(L34:L37)</f>
        <v>61198435</v>
      </c>
      <c r="M33" s="53">
        <f>SUM(M34:M37)</f>
        <v>53083637</v>
      </c>
    </row>
    <row r="34" spans="1:13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346759</v>
      </c>
      <c r="K34" s="7">
        <v>34456</v>
      </c>
      <c r="L34" s="7">
        <f>419778</f>
        <v>419778</v>
      </c>
      <c r="M34" s="7">
        <v>363301</v>
      </c>
    </row>
    <row r="35" spans="1:13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11957311</v>
      </c>
      <c r="K35" s="7">
        <v>2970725</v>
      </c>
      <c r="L35" s="7">
        <f>6114528+2696778</f>
        <v>8811306</v>
      </c>
      <c r="M35" s="7">
        <v>1513613</v>
      </c>
    </row>
    <row r="36" spans="1:13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>
        <v>51206723</v>
      </c>
      <c r="M36" s="7">
        <v>51206723</v>
      </c>
    </row>
    <row r="37" spans="1:13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29209</v>
      </c>
      <c r="K37" s="7">
        <v>29209</v>
      </c>
      <c r="L37" s="7">
        <f>760628</f>
        <v>760628</v>
      </c>
      <c r="M37" s="7"/>
    </row>
    <row r="38" spans="1:13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703519320</v>
      </c>
      <c r="K42" s="53">
        <f>K7+K27+K38+K40</f>
        <v>172821224</v>
      </c>
      <c r="L42" s="53">
        <f>L7+L27+L38+L40</f>
        <v>704198471</v>
      </c>
      <c r="M42" s="53">
        <f>M7+M27+M38+M40</f>
        <v>169921794</v>
      </c>
    </row>
    <row r="43" spans="1:13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676295320</v>
      </c>
      <c r="K43" s="53">
        <f>K10+K33+K39+K41</f>
        <v>158555371</v>
      </c>
      <c r="L43" s="53">
        <f>L10+L33+L39+L41</f>
        <v>733899591</v>
      </c>
      <c r="M43" s="53">
        <f>M10+M33+M39+M41</f>
        <v>212677945</v>
      </c>
    </row>
    <row r="44" spans="1:13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27224000</v>
      </c>
      <c r="K44" s="53">
        <f>K42-K43</f>
        <v>14265853</v>
      </c>
      <c r="L44" s="53">
        <f>L42-L43</f>
        <v>-29701120</v>
      </c>
      <c r="M44" s="53">
        <f>M42-M43</f>
        <v>-42756151</v>
      </c>
    </row>
    <row r="45" spans="1:13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27224000</v>
      </c>
      <c r="K45" s="53">
        <f>IF(K42&gt;K43,K42-K43,0)</f>
        <v>14265853</v>
      </c>
      <c r="L45" s="53">
        <f>IF(L42&gt;L43,L42-L43,0)</f>
        <v>0</v>
      </c>
      <c r="M45" s="53"/>
    </row>
    <row r="46" spans="1:13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29701120</v>
      </c>
      <c r="M46" s="53">
        <f>+M43-M42</f>
        <v>42756151</v>
      </c>
    </row>
    <row r="47" spans="1:13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5268747</v>
      </c>
      <c r="K47" s="7">
        <v>5268747</v>
      </c>
      <c r="L47" s="7"/>
      <c r="M47" s="7"/>
    </row>
    <row r="48" spans="1:13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21955253</v>
      </c>
      <c r="K48" s="53">
        <f>K44-K47</f>
        <v>8997106</v>
      </c>
      <c r="L48" s="126">
        <f>L44-L47</f>
        <v>-29701120</v>
      </c>
      <c r="M48" s="126">
        <f>M44-M47</f>
        <v>-42756151</v>
      </c>
    </row>
    <row r="49" spans="1:16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21955253</v>
      </c>
      <c r="K49" s="53">
        <f>IF(K48&gt;0,K48,0)</f>
        <v>8997106</v>
      </c>
      <c r="L49" s="126">
        <f>IF(L48&gt;0,L48,0)</f>
        <v>0</v>
      </c>
      <c r="M49" s="126">
        <f>IF(M48&gt;0,M48,0)</f>
        <v>0</v>
      </c>
    </row>
    <row r="50" spans="1:16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29701120</v>
      </c>
      <c r="M50" s="61">
        <f>IF(M48&lt;0,-M48,0)</f>
        <v>42756151</v>
      </c>
    </row>
    <row r="51" spans="1:16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6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6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6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6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6">
      <c r="A56" s="212" t="s">
        <v>204</v>
      </c>
      <c r="B56" s="213"/>
      <c r="C56" s="213"/>
      <c r="D56" s="213"/>
      <c r="E56" s="213"/>
      <c r="F56" s="213"/>
      <c r="G56" s="213"/>
      <c r="H56" s="232"/>
      <c r="I56" s="9">
        <v>157</v>
      </c>
      <c r="J56" s="6">
        <f>+J48</f>
        <v>21955253</v>
      </c>
      <c r="K56" s="6">
        <f>+K48</f>
        <v>8997106</v>
      </c>
      <c r="L56" s="6">
        <f>+L48</f>
        <v>-29701120</v>
      </c>
      <c r="M56" s="6">
        <f>+M48</f>
        <v>-42756151</v>
      </c>
      <c r="P56" s="129"/>
    </row>
    <row r="57" spans="1:16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-509132</v>
      </c>
      <c r="K57" s="53">
        <f>SUM(K58:K64)</f>
        <v>-502756</v>
      </c>
      <c r="L57" s="53">
        <f>SUM(L58:L64)</f>
        <v>400533</v>
      </c>
      <c r="M57" s="53">
        <f>SUM(M58:M64)</f>
        <v>-228276</v>
      </c>
    </row>
    <row r="58" spans="1:16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>
        <v>6376</v>
      </c>
      <c r="L58" s="7"/>
      <c r="M58" s="7"/>
    </row>
    <row r="59" spans="1:16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6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-509132</v>
      </c>
      <c r="K60" s="7">
        <v>-509132</v>
      </c>
      <c r="L60" s="7">
        <v>400533</v>
      </c>
      <c r="M60" s="7">
        <v>-228276</v>
      </c>
    </row>
    <row r="61" spans="1:16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6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6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6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-91644</v>
      </c>
      <c r="K65" s="7">
        <v>-90496</v>
      </c>
      <c r="L65" s="7">
        <v>72096</v>
      </c>
      <c r="M65" s="7">
        <v>-41090</v>
      </c>
    </row>
    <row r="66" spans="1:13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-417488</v>
      </c>
      <c r="K66" s="53">
        <f>K57-K65</f>
        <v>-412260</v>
      </c>
      <c r="L66" s="53">
        <f>L57-L65</f>
        <v>328437</v>
      </c>
      <c r="M66" s="53">
        <f>M57-M65</f>
        <v>-187186</v>
      </c>
    </row>
    <row r="67" spans="1:13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21537765</v>
      </c>
      <c r="K67" s="61">
        <f>K56+K66</f>
        <v>8584846</v>
      </c>
      <c r="L67" s="61">
        <f>L56+L66</f>
        <v>-29372683</v>
      </c>
      <c r="M67" s="61">
        <f>M56+M66</f>
        <v>-42943337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1">
    <dataValidation allowBlank="1" sqref="A1:N1048576 P1:XFD1048576 O1:O37 O39:O1048576"/>
  </dataValidations>
  <pageMargins left="0.46" right="0.25" top="0.62992125984251968" bottom="0.59055118110236227" header="0.51181102362204722" footer="0.51181102362204722"/>
  <pageSetup paperSize="9" scale="83" orientation="portrait" r:id="rId1"/>
  <headerFooter alignWithMargins="0"/>
  <ignoredErrors>
    <ignoredError sqref="J56:M56 J57 L57:M57" unlockedFormula="1"/>
    <ignoredError sqref="J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2"/>
  <sheetViews>
    <sheetView view="pageBreakPreview" zoomScale="110" zoomScaleNormal="115" zoomScaleSheetLayoutView="110" workbookViewId="0">
      <selection activeCell="K52" sqref="A1:K52"/>
    </sheetView>
  </sheetViews>
  <sheetFormatPr defaultRowHeight="12.75"/>
  <cols>
    <col min="1" max="9" width="9.140625" style="52"/>
    <col min="10" max="11" width="9.85546875" style="52" bestFit="1" customWidth="1"/>
    <col min="12" max="12" width="11.28515625" style="52" customWidth="1"/>
    <col min="13" max="13" width="10.7109375" style="52" bestFit="1" customWidth="1"/>
    <col min="14" max="16384" width="9.140625" style="52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>
      <c r="A3" s="265" t="s">
        <v>339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131" t="s">
        <v>319</v>
      </c>
      <c r="K4" s="134" t="s">
        <v>320</v>
      </c>
    </row>
    <row r="5" spans="1:11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>
      <c r="A6" s="208" t="s">
        <v>156</v>
      </c>
      <c r="B6" s="209"/>
      <c r="C6" s="209"/>
      <c r="D6" s="209"/>
      <c r="E6" s="209"/>
      <c r="F6" s="209"/>
      <c r="G6" s="209"/>
      <c r="H6" s="209"/>
      <c r="I6" s="262"/>
      <c r="J6" s="262"/>
      <c r="K6" s="263"/>
    </row>
    <row r="7" spans="1:11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27224000</v>
      </c>
      <c r="K7" s="7">
        <v>-29701120</v>
      </c>
    </row>
    <row r="8" spans="1:11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25555497</v>
      </c>
      <c r="K8" s="7">
        <v>21749993</v>
      </c>
    </row>
    <row r="9" spans="1:11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7"/>
      <c r="K9" s="7"/>
    </row>
    <row r="10" spans="1:11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7"/>
      <c r="K10" s="7"/>
    </row>
    <row r="11" spans="1:11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7"/>
      <c r="K11" s="7">
        <v>2893295</v>
      </c>
    </row>
    <row r="12" spans="1:11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8949287</v>
      </c>
      <c r="K12" s="7">
        <f>51967351+6114528+421888</f>
        <v>58503767</v>
      </c>
    </row>
    <row r="13" spans="1:11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61728784</v>
      </c>
      <c r="K13" s="53">
        <f>SUM(K7:K12)</f>
        <v>53445935</v>
      </c>
    </row>
    <row r="14" spans="1:11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7">
        <v>97503819</v>
      </c>
      <c r="K14" s="7">
        <v>3766920</v>
      </c>
    </row>
    <row r="15" spans="1:11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7">
        <v>29268113</v>
      </c>
      <c r="K15" s="7">
        <v>29100732</v>
      </c>
    </row>
    <row r="16" spans="1:11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>
        <v>5362681</v>
      </c>
      <c r="K16" s="7"/>
    </row>
    <row r="17" spans="1:14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>
        <f>1+15512022</f>
        <v>15512023</v>
      </c>
      <c r="K17" s="7">
        <f>15000+6330+4116397+1804977+6357030+1</f>
        <v>12299735</v>
      </c>
    </row>
    <row r="18" spans="1:14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147646636</v>
      </c>
      <c r="K18" s="53">
        <f>SUM(K14:K17)</f>
        <v>45167387</v>
      </c>
    </row>
    <row r="19" spans="1:14" ht="27.95" customHeight="1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0</v>
      </c>
      <c r="K19" s="53">
        <f>IF(K13&gt;K18,K13-K18,0)</f>
        <v>8278548</v>
      </c>
    </row>
    <row r="20" spans="1:14" ht="27.95" customHeight="1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85917852</v>
      </c>
      <c r="K20" s="53">
        <f>IF(K18&gt;K13,K18-K13,0)</f>
        <v>0</v>
      </c>
      <c r="M20" s="137"/>
      <c r="N20" s="129"/>
    </row>
    <row r="21" spans="1:14">
      <c r="A21" s="208" t="s">
        <v>159</v>
      </c>
      <c r="B21" s="209"/>
      <c r="C21" s="209"/>
      <c r="D21" s="209"/>
      <c r="E21" s="209"/>
      <c r="F21" s="209"/>
      <c r="G21" s="209"/>
      <c r="H21" s="209"/>
      <c r="I21" s="262"/>
      <c r="J21" s="262"/>
      <c r="K21" s="263"/>
    </row>
    <row r="22" spans="1:14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7">
        <v>198202</v>
      </c>
      <c r="K22" s="7">
        <v>22600</v>
      </c>
    </row>
    <row r="23" spans="1:14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7"/>
      <c r="K23" s="7">
        <v>63327982</v>
      </c>
    </row>
    <row r="24" spans="1:14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7">
        <v>31481</v>
      </c>
      <c r="K24" s="7">
        <v>35355</v>
      </c>
    </row>
    <row r="25" spans="1:14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7"/>
      <c r="K25" s="7"/>
    </row>
    <row r="26" spans="1:14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7">
        <f>750000+70891-1</f>
        <v>820890</v>
      </c>
      <c r="K26" s="7">
        <f>7020000+385609</f>
        <v>7405609</v>
      </c>
    </row>
    <row r="27" spans="1:14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1050573</v>
      </c>
      <c r="K27" s="53">
        <f>SUM(K22:K26)</f>
        <v>70791546</v>
      </c>
    </row>
    <row r="28" spans="1:14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7">
        <v>11090832</v>
      </c>
      <c r="K28" s="7">
        <v>6977160</v>
      </c>
    </row>
    <row r="29" spans="1:14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7">
        <v>60246</v>
      </c>
      <c r="K29" s="7">
        <v>65539</v>
      </c>
    </row>
    <row r="30" spans="1:14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7">
        <v>10100000</v>
      </c>
      <c r="K30" s="7">
        <v>10000000</v>
      </c>
    </row>
    <row r="31" spans="1:14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21251078</v>
      </c>
      <c r="K31" s="53">
        <f>SUM(K28:K30)</f>
        <v>17042699</v>
      </c>
    </row>
    <row r="32" spans="1:14" ht="27.95" customHeight="1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53748847</v>
      </c>
      <c r="M32" s="129"/>
    </row>
    <row r="33" spans="1:13" ht="27.95" customHeight="1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3">
        <f>IF(J31&gt;J27,J31-J27,0)</f>
        <v>20200505</v>
      </c>
      <c r="K33" s="53">
        <f>IF(K31&gt;K27,K31-K27,0)</f>
        <v>0</v>
      </c>
      <c r="M33" s="137"/>
    </row>
    <row r="34" spans="1:13">
      <c r="A34" s="208" t="s">
        <v>160</v>
      </c>
      <c r="B34" s="209"/>
      <c r="C34" s="209"/>
      <c r="D34" s="209"/>
      <c r="E34" s="209"/>
      <c r="F34" s="209"/>
      <c r="G34" s="209"/>
      <c r="H34" s="209"/>
      <c r="I34" s="262"/>
      <c r="J34" s="262"/>
      <c r="K34" s="263"/>
    </row>
    <row r="35" spans="1:13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7">
        <v>15208000</v>
      </c>
      <c r="K35" s="7"/>
    </row>
    <row r="36" spans="1:13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7">
        <v>140774122</v>
      </c>
      <c r="K36" s="7">
        <v>103834596</v>
      </c>
    </row>
    <row r="37" spans="1:13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0</v>
      </c>
      <c r="K37" s="7"/>
    </row>
    <row r="38" spans="1:13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155982122</v>
      </c>
      <c r="K38" s="53">
        <f>SUM(K35:K37)</f>
        <v>103834596</v>
      </c>
    </row>
    <row r="39" spans="1:13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f>54985451-1</f>
        <v>54985450</v>
      </c>
      <c r="K39" s="7">
        <f>-1+160211143</f>
        <v>160211142</v>
      </c>
    </row>
    <row r="40" spans="1:13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/>
      <c r="K40" s="7"/>
    </row>
    <row r="41" spans="1:13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>
        <v>3728548</v>
      </c>
      <c r="K41" s="7">
        <v>2840620</v>
      </c>
    </row>
    <row r="42" spans="1:13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/>
      <c r="K42" s="7"/>
    </row>
    <row r="43" spans="1:13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/>
      <c r="K43" s="7"/>
    </row>
    <row r="44" spans="1:13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58713998</v>
      </c>
      <c r="K44" s="53">
        <f>SUM(K39:K43)</f>
        <v>163051762</v>
      </c>
    </row>
    <row r="45" spans="1:13" ht="27.95" customHeight="1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97268124</v>
      </c>
      <c r="K45" s="53">
        <f>IF(K38&gt;K44,K38-K44,0)</f>
        <v>0</v>
      </c>
    </row>
    <row r="46" spans="1:13" ht="27.95" customHeight="1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0</v>
      </c>
      <c r="K46" s="53">
        <f>IF(K44&gt;K38,K44-K38,0)</f>
        <v>59217166</v>
      </c>
    </row>
    <row r="47" spans="1:13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2810229</v>
      </c>
    </row>
    <row r="48" spans="1:13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IF(J20-J19+J33-J32+J46-J45&gt;0,J20-J19+J33-J32+J46-J45,0)</f>
        <v>8850233</v>
      </c>
      <c r="K48" s="53">
        <f>IF(K20-K19+K33-K32+K46-K45&gt;0,K20-K19+K33-K32+K46-K45,0)</f>
        <v>0</v>
      </c>
    </row>
    <row r="49" spans="1:11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7">
        <v>10917891</v>
      </c>
      <c r="K49" s="7">
        <v>2067658</v>
      </c>
    </row>
    <row r="50" spans="1:11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f>+J19+J45+J32</f>
        <v>97268124</v>
      </c>
      <c r="K50" s="7">
        <f>+K19+K45+K32</f>
        <v>62027395</v>
      </c>
    </row>
    <row r="51" spans="1:11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f>+J20+J33+J46</f>
        <v>106118357</v>
      </c>
      <c r="K51" s="7">
        <f>+K20+K33+K46</f>
        <v>59217166</v>
      </c>
    </row>
    <row r="52" spans="1:11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65">
        <f>J49+J50-J51</f>
        <v>2067658</v>
      </c>
      <c r="K52" s="61">
        <f>K49+K50-K51</f>
        <v>4877887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54" right="0.38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283</v>
      </c>
      <c r="K5" s="73" t="s">
        <v>284</v>
      </c>
    </row>
    <row r="6" spans="1:11">
      <c r="A6" s="208" t="s">
        <v>156</v>
      </c>
      <c r="B6" s="209"/>
      <c r="C6" s="209"/>
      <c r="D6" s="209"/>
      <c r="E6" s="209"/>
      <c r="F6" s="209"/>
      <c r="G6" s="209"/>
      <c r="H6" s="209"/>
      <c r="I6" s="262"/>
      <c r="J6" s="262"/>
      <c r="K6" s="263"/>
    </row>
    <row r="7" spans="1:11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27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8" t="s">
        <v>159</v>
      </c>
      <c r="B22" s="209"/>
      <c r="C22" s="209"/>
      <c r="D22" s="209"/>
      <c r="E22" s="209"/>
      <c r="F22" s="209"/>
      <c r="G22" s="209"/>
      <c r="H22" s="209"/>
      <c r="I22" s="262"/>
      <c r="J22" s="262"/>
      <c r="K22" s="263"/>
    </row>
    <row r="23" spans="1:11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>
      <c r="A25" s="200" t="s">
        <v>321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>
      <c r="A26" s="200" t="s">
        <v>322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8" t="s">
        <v>160</v>
      </c>
      <c r="B35" s="209"/>
      <c r="C35" s="209"/>
      <c r="D35" s="209"/>
      <c r="E35" s="209"/>
      <c r="F35" s="209"/>
      <c r="G35" s="209"/>
      <c r="H35" s="209"/>
      <c r="I35" s="262">
        <v>0</v>
      </c>
      <c r="J35" s="262"/>
      <c r="K35" s="263"/>
    </row>
    <row r="36" spans="1:11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A19" sqref="A19:H19"/>
    </sheetView>
  </sheetViews>
  <sheetFormatPr defaultRowHeight="12.75"/>
  <cols>
    <col min="1" max="4" width="9.140625" style="76"/>
    <col min="5" max="5" width="10.42578125" style="76" bestFit="1" customWidth="1"/>
    <col min="6" max="9" width="9.140625" style="76"/>
    <col min="10" max="11" width="9.5703125" style="76" bestFit="1" customWidth="1"/>
    <col min="12" max="16384" width="9.140625" style="76"/>
  </cols>
  <sheetData>
    <row r="1" spans="1:12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282" t="s">
        <v>282</v>
      </c>
      <c r="D2" s="282"/>
      <c r="E2" s="128" t="s">
        <v>341</v>
      </c>
      <c r="F2" s="43" t="s">
        <v>250</v>
      </c>
      <c r="G2" s="283" t="s">
        <v>344</v>
      </c>
      <c r="H2" s="284"/>
      <c r="I2" s="74"/>
      <c r="J2" s="74"/>
      <c r="K2" s="74"/>
      <c r="L2" s="77"/>
    </row>
    <row r="3" spans="1:12" ht="23.25">
      <c r="A3" s="285" t="s">
        <v>59</v>
      </c>
      <c r="B3" s="285"/>
      <c r="C3" s="285"/>
      <c r="D3" s="285"/>
      <c r="E3" s="285"/>
      <c r="F3" s="285"/>
      <c r="G3" s="285"/>
      <c r="H3" s="285"/>
      <c r="I3" s="80" t="s">
        <v>305</v>
      </c>
      <c r="J3" s="81" t="s">
        <v>150</v>
      </c>
      <c r="K3" s="81" t="s">
        <v>151</v>
      </c>
    </row>
    <row r="4" spans="1:12">
      <c r="A4" s="286">
        <v>1</v>
      </c>
      <c r="B4" s="286"/>
      <c r="C4" s="286"/>
      <c r="D4" s="286"/>
      <c r="E4" s="286"/>
      <c r="F4" s="286"/>
      <c r="G4" s="286"/>
      <c r="H4" s="286"/>
      <c r="I4" s="83">
        <v>2</v>
      </c>
      <c r="J4" s="82" t="s">
        <v>283</v>
      </c>
      <c r="K4" s="82" t="s">
        <v>284</v>
      </c>
    </row>
    <row r="5" spans="1:12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244169200</v>
      </c>
      <c r="K5" s="45">
        <v>244169200</v>
      </c>
    </row>
    <row r="6" spans="1:12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v>215962</v>
      </c>
      <c r="K6" s="46">
        <v>215962</v>
      </c>
    </row>
    <row r="7" spans="1:12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183406279</v>
      </c>
      <c r="K7" s="46">
        <v>205421978</v>
      </c>
    </row>
    <row r="8" spans="1:12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60446</v>
      </c>
      <c r="K8" s="46">
        <v>-21238558</v>
      </c>
    </row>
    <row r="9" spans="1:12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21955253</v>
      </c>
      <c r="K9" s="46">
        <v>-29701120</v>
      </c>
    </row>
    <row r="10" spans="1:12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>
        <v>912335</v>
      </c>
      <c r="K10" s="46">
        <v>853820</v>
      </c>
    </row>
    <row r="11" spans="1:12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2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-2664066</v>
      </c>
      <c r="K12" s="46">
        <v>-2335629</v>
      </c>
    </row>
    <row r="13" spans="1:12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2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8">
        <f>SUM(J5:J13)</f>
        <v>448055409</v>
      </c>
      <c r="K14" s="78">
        <f>SUM(K5:K13)</f>
        <v>397385653</v>
      </c>
    </row>
    <row r="15" spans="1:12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2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9">
        <f>SUM(J15:J20)</f>
        <v>0</v>
      </c>
      <c r="K21" s="79">
        <f>SUM(K15:K20)</f>
        <v>0</v>
      </c>
    </row>
    <row r="22" spans="1:11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/>
      <c r="K23" s="45"/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79"/>
      <c r="K24" s="79"/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Gordana Rajhl</cp:lastModifiedBy>
  <cp:lastPrinted>2019-02-28T11:54:24Z</cp:lastPrinted>
  <dcterms:created xsi:type="dcterms:W3CDTF">2008-10-17T11:51:54Z</dcterms:created>
  <dcterms:modified xsi:type="dcterms:W3CDTF">2019-02-28T11:54:35Z</dcterms:modified>
</cp:coreProperties>
</file>