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<sst xmlns="http://schemas.openxmlformats.org/spreadsheetml/2006/main" count="402" uniqueCount="348">
  <si>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</si>
  <si>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</si>
  <si>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</si>
  <si>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</si>
  <si>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</si>
  <si>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</si>
  <si>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</si>
  <si>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</si>
  <si>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</si>
  <si>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</si>
  <si>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</si>
  <si>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</si>
  <si>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</si>
  <si>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</si>
  <si>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</si>
  <si>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</si>
  <si>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</si>
  <si>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</si>
  <si>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</si>
  <si>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</si>
  <si>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</si>
  <si>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</si>
  <si>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</si>
  <si>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</si>
  <si>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</si>
  <si>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</si>
  <si>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</si>
  <si>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</si>
  <si>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</si>
  <si>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</si>
  <si>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</si>
  <si>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</si>
  <si>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</si>
  <si>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</si>
  <si>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</si>
  <si>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</si>
  <si>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</si>
  <si>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</si>
  <si>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</si>
  <si>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</si>
  <si>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</si>
  <si>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</si>
  <si>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</si>
  <si>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</si>
  <si>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</si>
  <si>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</si>
  <si>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</si>
  <si>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</si>
  <si>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</si>
  <si>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</si>
  <si>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</si>
  <si>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</si>
  <si>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</si>
  <si>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</si>
  <si>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</si>
  <si>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</si>
  <si>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</si>
  <si>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</si>
  <si>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</si>
  <si>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</si>
  <si>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</si>
  <si>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</si>
  <si>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</si>
  <si>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</si>
  <si>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</si>
  <si>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</si>
  <si>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</si>
  <si>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</si>
  <si>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</si>
  <si>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</si>
  <si>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</si>
  <si>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</si>
  <si>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</si>
  <si>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</si>
  <si>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</si>
  <si>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</si>
  <si>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</si>
  <si>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</si>
  <si>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</si>
  <si>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</si>
  <si>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</si>
  <si>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</si>
  <si>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</si>
  <si>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</si>
  <si>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</si>
  <si>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</si>
  <si>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</si>
  <si>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</si>
  <si>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</si>
  <si>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</si>
  <si>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</si>
  <si>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</si>
  <si>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</si>
  <si>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</si>
  <si>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</si>
  <si>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</si>
  <si>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</si>
  <si>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</si>
  <si>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</si>
  <si>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</si>
  <si>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</si>
  <si>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</si>
  <si>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</si>
  <si>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</si>
  <si>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</si>
  <si>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</si>
  <si>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</si>
  <si>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</si>
  <si>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</si>
  <si>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</si>
  <si>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</si>
  <si>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</si>
  <si>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</si>
  <si>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</si>
  <si>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</si>
  <si>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</si>
  <si>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</si>
  <si>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</si>
  <si>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</si>
  <si>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</si>
  <si>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</si>
  <si>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</si>
  <si>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</si>
  <si>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</si>
  <si>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</si>
  <si>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</si>
  <si>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</si>
  <si>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</si>
  <si>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</si>
  <si>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</si>
  <si>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</si>
  <si>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</si>
  <si>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</si>
  <si>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</si>
  <si>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</si>
  <si>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</si>
  <si>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</si>
  <si>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</si>
  <si>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</si>
  <si>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</si>
  <si>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</si>
  <si>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</si>
  <si>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</si>
  <si>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</si>
  <si>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</si>
  <si>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</si>
  <si>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</si>
  <si>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</si>
  <si>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</si>
  <si>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</si>
  <si>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</si>
  <si>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</si>
  <si>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</si>
  <si>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</si>
  <si>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</si>
  <si>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</si>
  <si>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</si>
  <si>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</si>
  <si>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</si>
  <si>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</si>
  <si>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</si>
  <si>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</si>
  <si>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</si>
  <si>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</si>
  <si>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</si>
  <si>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</si>
  <si>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</si>
  <si>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</si>
  <si>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</si>
  <si>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</si>
  <si>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</si>
  <si>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</si>
  <si>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</si>
  <si>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</si>
  <si>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</si>
  <si>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</si>
  <si>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</si>
  <si>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</si>
  <si>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</si>
  <si>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</si>
  <si>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</si>
  <si>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</si>
  <si>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</si>
  <si>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</si>
  <si>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</si>
  <si>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</si>
  <si>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</si>
  <si>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</si>
  <si>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</si>
  <si>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</si>
  <si>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</si>
  <si>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</si>
  <si>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</si>
  <si>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</si>
  <si>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</si>
  <si>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</si>
  <si>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</si>
  <si>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</si>
  <si>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</si>
  <si>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</si>
  <si>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</si>
  <si>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</si>
  <si>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</si>
  <si>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</si>
  <si>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</si>
  <si>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</si>
  <si>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</si>
  <si>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</si>
  <si>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</si>
  <si>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</si>
  <si>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</si>
  <si>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</si>
  <si>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</si>
  <si>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</si>
  <si>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</si>
  <si>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</si>
  <si>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</si>
  <si>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</si>
  <si>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</si>
  <si>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</si>
  <si>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</si>
  <si>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</si>
  <si>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</si>
  <si>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</si>
  <si>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</si>
  <si>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</si>
  <si>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</si>
  <si>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</si>
  <si>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</si>
  <si>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</si>
  <si>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</si>
  <si>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</si>
  <si>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</si>
  <si>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</si>
  <si>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</si>
  <si>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</si>
  <si>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</si>
  <si>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</si>
  <si>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</si>
  <si>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</si>
  <si>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</si>
  <si>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</si>
  <si>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</si>
  <si>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</si>
  <si>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</si>
  <si>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</si>
  <si>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</si>
  <si>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</si>
  <si>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</si>
  <si>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</si>
  <si>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</si>
  <si>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</si>
  <si>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</si>
  <si>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</si>
  <si>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</si>
  <si>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</si>
  <si>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</si>
  <si>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</si>
  <si>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</si>
  <si>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</si>
  <si>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</si>
  <si>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</si>
  <si>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</si>
  <si>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</si>
  <si>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</si>
  <si>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</si>
  <si>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</si>
  <si>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</si>
  <si>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</si>
  <si>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</si>
  <si>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</si>
  <si>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</si>
  <si>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</si>
  <si>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</si>
  <si>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</si>
  <si>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</si>
  <si>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</si>
  <si>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</si>
  <si>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</si>
  <si>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</si>
  <si>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</si>
  <si>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</si>
  <si>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</si>
  <si>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</si>
  <si>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</si>
  <si>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</si>
  <si>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</si>
  <si>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</si>
  <si>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</si>
  <si>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</si>
  <si>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</si>
  <si>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</si>
  <si>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</si>
  <si>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</si>
  <si>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</si>
  <si>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</si>
  <si>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</si>
  <si>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</si>
  <si>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</si>
  <si>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</si>
  <si>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</si>
  <si>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</si>
  <si>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</si>
  <si>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</si>
  <si>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</si>
  <si>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</si>
  <si>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</si>
  <si>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</si>
  <si>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</si>
  <si>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</si>
  <si>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</si>
  <si>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</si>
  <si>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</si>
  <si>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</si>
  <si>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</si>
  <si>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</si>
  <si>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</si>
  <si>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</si>
  <si>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</si>
  <si>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</si>
  <si>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</si>
  <si>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1.1.2013.</t>
  </si>
  <si>
    <t>30.06.2013.</t>
  </si>
  <si>
    <t>3474771</t>
  </si>
  <si>
    <t>040020883</t>
  </si>
  <si>
    <t>36201212847</t>
  </si>
  <si>
    <t>Riviera Adria d.d.</t>
  </si>
  <si>
    <t>Poreč</t>
  </si>
  <si>
    <t>Stancija Kaligari 1</t>
  </si>
  <si>
    <t>uprava@riviera.hr</t>
  </si>
  <si>
    <t>www.riviera-adria.com</t>
  </si>
  <si>
    <t>Istarska</t>
  </si>
  <si>
    <t>DA</t>
  </si>
  <si>
    <t>5510</t>
  </si>
  <si>
    <t>Sopta Anka</t>
  </si>
  <si>
    <t>052 408 188</t>
  </si>
  <si>
    <t>052 408 110</t>
  </si>
  <si>
    <t>anka.sopta@riviera.hr</t>
  </si>
  <si>
    <t>Černjul Edi, Čižmek Marko</t>
  </si>
  <si>
    <t>Dubrovnik Babin Kuk d.d.</t>
  </si>
  <si>
    <t>Dubrovnik</t>
  </si>
  <si>
    <t>3303989</t>
  </si>
  <si>
    <t>stanje na dan  30.06.2013.</t>
  </si>
  <si>
    <t>Obveznik: ___Riviera Adria d.d.________________________________________________________</t>
  </si>
  <si>
    <t>u razdoblju  01.01.2013.  do  30.06.2013.</t>
  </si>
  <si>
    <t>Obveznik: __Riviera Adria d.d.___________________________________________________________</t>
  </si>
  <si>
    <t>u razdoblju   01.01.2013.  do  30.06.2013.</t>
  </si>
  <si>
    <t>u razdoblju 01.01.2013.  do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</si>
</sst>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-adri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3">
      <selection activeCell="K19" sqref="K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245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246</v>
      </c>
      <c r="B2" s="135"/>
      <c r="C2" s="135"/>
      <c r="D2" s="136"/>
      <c r="E2" s="120" t="s">
        <v>321</v>
      </c>
      <c r="F2" s="12"/>
      <c r="G2" s="13" t="s">
        <v>247</v>
      </c>
      <c r="H2" s="120" t="s">
        <v>322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7" t="s">
        <v>314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248</v>
      </c>
      <c r="B6" s="141"/>
      <c r="C6" s="132" t="s">
        <v>323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249</v>
      </c>
      <c r="B8" s="143"/>
      <c r="C8" s="132" t="s">
        <v>324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250</v>
      </c>
      <c r="B10" s="130"/>
      <c r="C10" s="132" t="s">
        <v>325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251</v>
      </c>
      <c r="B12" s="141"/>
      <c r="C12" s="144" t="s">
        <v>326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252</v>
      </c>
      <c r="B14" s="141"/>
      <c r="C14" s="147">
        <v>52440</v>
      </c>
      <c r="D14" s="148"/>
      <c r="E14" s="16"/>
      <c r="F14" s="144" t="s">
        <v>327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253</v>
      </c>
      <c r="B16" s="141"/>
      <c r="C16" s="144" t="s">
        <v>328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254</v>
      </c>
      <c r="B18" s="141"/>
      <c r="C18" s="149" t="s">
        <v>329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255</v>
      </c>
      <c r="B20" s="141"/>
      <c r="C20" s="149" t="s">
        <v>330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256</v>
      </c>
      <c r="B22" s="141"/>
      <c r="C22" s="121">
        <v>348</v>
      </c>
      <c r="D22" s="144" t="s">
        <v>327</v>
      </c>
      <c r="E22" s="152"/>
      <c r="F22" s="153"/>
      <c r="G22" s="140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257</v>
      </c>
      <c r="B24" s="141"/>
      <c r="C24" s="121">
        <v>18</v>
      </c>
      <c r="D24" s="144" t="s">
        <v>331</v>
      </c>
      <c r="E24" s="152"/>
      <c r="F24" s="152"/>
      <c r="G24" s="153"/>
      <c r="H24" s="51" t="s">
        <v>258</v>
      </c>
      <c r="I24" s="122">
        <v>2853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315</v>
      </c>
      <c r="I25" s="98"/>
      <c r="J25" s="10"/>
      <c r="K25" s="10"/>
      <c r="L25" s="10"/>
    </row>
    <row r="26" spans="1:12" ht="12.75">
      <c r="A26" s="140" t="s">
        <v>259</v>
      </c>
      <c r="B26" s="141"/>
      <c r="C26" s="123" t="s">
        <v>332</v>
      </c>
      <c r="D26" s="25"/>
      <c r="E26" s="33"/>
      <c r="F26" s="24"/>
      <c r="G26" s="155" t="s">
        <v>260</v>
      </c>
      <c r="H26" s="141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261</v>
      </c>
      <c r="B28" s="157"/>
      <c r="C28" s="158"/>
      <c r="D28" s="158"/>
      <c r="E28" s="159" t="s">
        <v>262</v>
      </c>
      <c r="F28" s="160"/>
      <c r="G28" s="160"/>
      <c r="H28" s="161" t="s">
        <v>263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 t="s">
        <v>339</v>
      </c>
      <c r="B30" s="164"/>
      <c r="C30" s="164"/>
      <c r="D30" s="165"/>
      <c r="E30" s="163" t="s">
        <v>340</v>
      </c>
      <c r="F30" s="164"/>
      <c r="G30" s="164"/>
      <c r="H30" s="132" t="s">
        <v>341</v>
      </c>
      <c r="I30" s="133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3"/>
      <c r="B37" s="30"/>
      <c r="C37" s="168"/>
      <c r="D37" s="169"/>
      <c r="E37" s="16"/>
      <c r="F37" s="168"/>
      <c r="G37" s="169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264</v>
      </c>
      <c r="B44" s="173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68"/>
      <c r="D45" s="169"/>
      <c r="E45" s="16"/>
      <c r="F45" s="168"/>
      <c r="G45" s="170"/>
      <c r="H45" s="35"/>
      <c r="I45" s="107"/>
      <c r="J45" s="10"/>
      <c r="K45" s="10"/>
      <c r="L45" s="10"/>
    </row>
    <row r="46" spans="1:12" ht="12.75">
      <c r="A46" s="129" t="s">
        <v>265</v>
      </c>
      <c r="B46" s="173"/>
      <c r="C46" s="144" t="s">
        <v>334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4"/>
      <c r="B47" s="22"/>
      <c r="C47" s="21" t="s">
        <v>266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267</v>
      </c>
      <c r="B48" s="173"/>
      <c r="C48" s="174" t="s">
        <v>335</v>
      </c>
      <c r="D48" s="175"/>
      <c r="E48" s="176"/>
      <c r="F48" s="16"/>
      <c r="G48" s="51" t="s">
        <v>268</v>
      </c>
      <c r="H48" s="174" t="s">
        <v>336</v>
      </c>
      <c r="I48" s="17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254</v>
      </c>
      <c r="B50" s="173"/>
      <c r="C50" s="185" t="s">
        <v>337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269</v>
      </c>
      <c r="B52" s="141"/>
      <c r="C52" s="174" t="s">
        <v>338</v>
      </c>
      <c r="D52" s="175"/>
      <c r="E52" s="175"/>
      <c r="F52" s="175"/>
      <c r="G52" s="175"/>
      <c r="H52" s="175"/>
      <c r="I52" s="146"/>
      <c r="J52" s="10"/>
      <c r="K52" s="10"/>
      <c r="L52" s="10"/>
    </row>
    <row r="53" spans="1:12" ht="12.75">
      <c r="A53" s="108"/>
      <c r="B53" s="20"/>
      <c r="C53" s="179" t="s">
        <v>270</v>
      </c>
      <c r="D53" s="179"/>
      <c r="E53" s="179"/>
      <c r="F53" s="179"/>
      <c r="G53" s="179"/>
      <c r="H53" s="17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271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303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304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305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306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272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273</v>
      </c>
      <c r="F62" s="33"/>
      <c r="G62" s="180" t="s">
        <v>274</v>
      </c>
      <c r="H62" s="181"/>
      <c r="I62" s="18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-adria.com"/>
    <hyperlink ref="C50" r:id="rId3" display="anka.sopta@rivie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4">
      <selection activeCell="A94" sqref="A94:H94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8" t="s">
        <v>151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343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57</v>
      </c>
      <c r="B4" s="234"/>
      <c r="C4" s="234"/>
      <c r="D4" s="234"/>
      <c r="E4" s="234"/>
      <c r="F4" s="234"/>
      <c r="G4" s="234"/>
      <c r="H4" s="235"/>
      <c r="I4" s="58" t="s">
        <v>275</v>
      </c>
      <c r="J4" s="59" t="s">
        <v>316</v>
      </c>
      <c r="K4" s="60" t="s">
        <v>317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58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11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2400633872</v>
      </c>
      <c r="K8" s="53">
        <f>K9+K16+K26+K35+K39</f>
        <v>2453650547.3300004</v>
      </c>
    </row>
    <row r="9" spans="1:11" ht="12.75">
      <c r="A9" s="204" t="s">
        <v>202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1735904</v>
      </c>
      <c r="K9" s="53">
        <f>SUM(K10:K15)</f>
        <v>36124961.28</v>
      </c>
    </row>
    <row r="10" spans="1:11" ht="12.75">
      <c r="A10" s="204" t="s">
        <v>110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12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1735904</v>
      </c>
      <c r="K11" s="7">
        <v>1567260.28</v>
      </c>
    </row>
    <row r="12" spans="1:11" ht="12.75">
      <c r="A12" s="204" t="s">
        <v>111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>
        <v>34557701</v>
      </c>
    </row>
    <row r="13" spans="1:11" ht="12.75">
      <c r="A13" s="204" t="s">
        <v>205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206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207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203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2394313743</v>
      </c>
      <c r="K16" s="53">
        <f>SUM(K17:K25)</f>
        <v>2412792491.28</v>
      </c>
    </row>
    <row r="17" spans="1:11" ht="12.75">
      <c r="A17" s="204" t="s">
        <v>208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563330902</v>
      </c>
      <c r="K17" s="7">
        <v>566950491.36</v>
      </c>
    </row>
    <row r="18" spans="1:11" ht="12.75">
      <c r="A18" s="204" t="s">
        <v>244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1595728136</v>
      </c>
      <c r="K18" s="7">
        <v>1511046920.08</v>
      </c>
    </row>
    <row r="19" spans="1:11" ht="12.75">
      <c r="A19" s="204" t="s">
        <v>209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126081015</v>
      </c>
      <c r="K19" s="7">
        <v>118871990.75</v>
      </c>
    </row>
    <row r="20" spans="1:11" ht="12.75">
      <c r="A20" s="204" t="s">
        <v>25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31153978</v>
      </c>
      <c r="K20" s="7">
        <v>38822781.67</v>
      </c>
    </row>
    <row r="21" spans="1:11" ht="12.75">
      <c r="A21" s="204" t="s">
        <v>26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70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29006844</v>
      </c>
      <c r="K22" s="7">
        <v>20993382.72</v>
      </c>
    </row>
    <row r="23" spans="1:11" ht="12.75">
      <c r="A23" s="204" t="s">
        <v>71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33339523</v>
      </c>
      <c r="K23" s="7">
        <v>141495880.78</v>
      </c>
    </row>
    <row r="24" spans="1:11" ht="12.75">
      <c r="A24" s="204" t="s">
        <v>72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15673345</v>
      </c>
      <c r="K24" s="7">
        <v>14611043.92</v>
      </c>
    </row>
    <row r="25" spans="1:11" ht="12.75">
      <c r="A25" s="204" t="s">
        <v>73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187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3379952</v>
      </c>
      <c r="K26" s="53">
        <f>SUM(K27:K34)</f>
        <v>3484358.6399999997</v>
      </c>
    </row>
    <row r="27" spans="1:11" ht="12.75">
      <c r="A27" s="204" t="s">
        <v>74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1270778</v>
      </c>
      <c r="K27" s="7">
        <v>1395185.19</v>
      </c>
    </row>
    <row r="28" spans="1:11" ht="12.75">
      <c r="A28" s="204" t="s">
        <v>75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76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160000</v>
      </c>
      <c r="K29" s="7">
        <v>140000</v>
      </c>
    </row>
    <row r="30" spans="1:11" ht="12.75">
      <c r="A30" s="204" t="s">
        <v>81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82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1949174</v>
      </c>
      <c r="K31" s="7">
        <v>1949173.45</v>
      </c>
    </row>
    <row r="32" spans="1:11" ht="12.75">
      <c r="A32" s="204" t="s">
        <v>83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77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320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181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846774</v>
      </c>
      <c r="K35" s="53">
        <f>SUM(K36:K38)</f>
        <v>891237.44</v>
      </c>
    </row>
    <row r="36" spans="1:11" ht="12.75">
      <c r="A36" s="204" t="s">
        <v>78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79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461608</v>
      </c>
      <c r="K37" s="7">
        <v>437620.98</v>
      </c>
    </row>
    <row r="38" spans="1:11" ht="12.75">
      <c r="A38" s="204" t="s">
        <v>80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385166</v>
      </c>
      <c r="K38" s="7">
        <v>453616.46</v>
      </c>
    </row>
    <row r="39" spans="1:11" ht="12.75">
      <c r="A39" s="204" t="s">
        <v>182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357499</v>
      </c>
      <c r="K39" s="7">
        <v>357498.69</v>
      </c>
    </row>
    <row r="40" spans="1:11" ht="12.75">
      <c r="A40" s="207" t="s">
        <v>237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236126557</v>
      </c>
      <c r="K40" s="53">
        <f>K41+K49+K56+K64</f>
        <v>226666447.6</v>
      </c>
    </row>
    <row r="41" spans="1:11" ht="12.75">
      <c r="A41" s="204" t="s">
        <v>98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7802245</v>
      </c>
      <c r="K41" s="53">
        <f>SUM(K42:K48)</f>
        <v>12708478.41</v>
      </c>
    </row>
    <row r="42" spans="1:11" ht="12.75">
      <c r="A42" s="204" t="s">
        <v>115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6058754</v>
      </c>
      <c r="K42" s="7">
        <v>7833629.64</v>
      </c>
    </row>
    <row r="43" spans="1:11" ht="12.75">
      <c r="A43" s="204" t="s">
        <v>116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84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740909</v>
      </c>
      <c r="K44" s="7">
        <v>740909.04</v>
      </c>
    </row>
    <row r="45" spans="1:11" ht="12.75">
      <c r="A45" s="204" t="s">
        <v>85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315810</v>
      </c>
      <c r="K45" s="7">
        <v>223645.86</v>
      </c>
    </row>
    <row r="46" spans="1:11" ht="12.75">
      <c r="A46" s="204" t="s">
        <v>86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686772</v>
      </c>
      <c r="K46" s="7">
        <v>3910293.87</v>
      </c>
    </row>
    <row r="47" spans="1:11" ht="12.75">
      <c r="A47" s="204" t="s">
        <v>87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88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99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31684930</v>
      </c>
      <c r="K49" s="53">
        <f>SUM(K50:K55)</f>
        <v>73272027.38</v>
      </c>
    </row>
    <row r="50" spans="1:11" ht="12.75">
      <c r="A50" s="204" t="s">
        <v>197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198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12431606</v>
      </c>
      <c r="K51" s="7">
        <v>55208310.11</v>
      </c>
    </row>
    <row r="52" spans="1:11" ht="12.75">
      <c r="A52" s="204" t="s">
        <v>199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200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384929</v>
      </c>
      <c r="K53" s="7">
        <v>3248870</v>
      </c>
    </row>
    <row r="54" spans="1:11" ht="12.75">
      <c r="A54" s="204" t="s">
        <v>8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16377892</v>
      </c>
      <c r="K54" s="7">
        <v>6760234.25</v>
      </c>
    </row>
    <row r="55" spans="1:11" ht="12.75">
      <c r="A55" s="204" t="s">
        <v>9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2490503</v>
      </c>
      <c r="K55" s="7">
        <v>8054613.02</v>
      </c>
    </row>
    <row r="56" spans="1:11" ht="12.75">
      <c r="A56" s="204" t="s">
        <v>100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1432638</v>
      </c>
      <c r="K56" s="53">
        <f>SUM(K57:K63)</f>
        <v>2260636.25</v>
      </c>
    </row>
    <row r="57" spans="1:11" ht="12.75">
      <c r="A57" s="204" t="s">
        <v>74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75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239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81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82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1083853</v>
      </c>
      <c r="K61" s="7">
        <v>1083853.44</v>
      </c>
    </row>
    <row r="62" spans="1:11" ht="12.75">
      <c r="A62" s="204" t="s">
        <v>83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100268</v>
      </c>
      <c r="K62" s="7">
        <v>1061103.81</v>
      </c>
    </row>
    <row r="63" spans="1:11" ht="12.75">
      <c r="A63" s="204" t="s">
        <v>44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248517</v>
      </c>
      <c r="K63" s="7">
        <v>115679</v>
      </c>
    </row>
    <row r="64" spans="1:11" ht="12.75">
      <c r="A64" s="204" t="s">
        <v>204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195206744</v>
      </c>
      <c r="K64" s="7">
        <v>138425305.56</v>
      </c>
    </row>
    <row r="65" spans="1:11" ht="12.75">
      <c r="A65" s="207" t="s">
        <v>54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20961344</v>
      </c>
      <c r="K65" s="7">
        <v>22438208.94</v>
      </c>
    </row>
    <row r="66" spans="1:11" ht="12.75">
      <c r="A66" s="207" t="s">
        <v>238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2657721773</v>
      </c>
      <c r="K66" s="53">
        <f>K7+K8+K40+K65</f>
        <v>2702755203.8700004</v>
      </c>
    </row>
    <row r="67" spans="1:11" ht="12.75">
      <c r="A67" s="219" t="s">
        <v>89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54977227</v>
      </c>
      <c r="K67" s="8">
        <v>54938065.82</v>
      </c>
    </row>
    <row r="68" spans="1:11" ht="12.75">
      <c r="A68" s="196" t="s">
        <v>56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188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1689780480</v>
      </c>
      <c r="K69" s="54">
        <f>K70+K71+K72+K78+K79+K82+K85</f>
        <v>1564012563.47</v>
      </c>
    </row>
    <row r="70" spans="1:11" ht="12.75">
      <c r="A70" s="204" t="s">
        <v>139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1065463400</v>
      </c>
      <c r="K70" s="7">
        <v>1065463400</v>
      </c>
    </row>
    <row r="71" spans="1:11" ht="12.75">
      <c r="A71" s="204" t="s">
        <v>140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478235923</v>
      </c>
      <c r="K71" s="7">
        <v>478208416.53</v>
      </c>
    </row>
    <row r="72" spans="1:11" ht="12.75">
      <c r="A72" s="204" t="s">
        <v>141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121513407</v>
      </c>
      <c r="K72" s="53">
        <f>K73+K74-K75+K76+K77</f>
        <v>122553547.08000001</v>
      </c>
    </row>
    <row r="73" spans="1:11" ht="12.75">
      <c r="A73" s="204" t="s">
        <v>142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57792194</v>
      </c>
      <c r="K73" s="7">
        <v>57792193.88</v>
      </c>
    </row>
    <row r="74" spans="1:11" ht="12.75">
      <c r="A74" s="204" t="s">
        <v>143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52225816</v>
      </c>
      <c r="K74" s="7">
        <v>52225815.58</v>
      </c>
    </row>
    <row r="75" spans="1:11" ht="12.75">
      <c r="A75" s="204" t="s">
        <v>131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45619898</v>
      </c>
      <c r="K75" s="7">
        <v>44579757.49</v>
      </c>
    </row>
    <row r="76" spans="1:11" ht="12.75">
      <c r="A76" s="204" t="s">
        <v>132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133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57115295</v>
      </c>
      <c r="K77" s="7">
        <v>57115295.11</v>
      </c>
    </row>
    <row r="78" spans="1:11" ht="12.75">
      <c r="A78" s="204" t="s">
        <v>134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262263</v>
      </c>
      <c r="K78" s="7">
        <v>262263.4</v>
      </c>
    </row>
    <row r="79" spans="1:11" ht="12.75">
      <c r="A79" s="204" t="s">
        <v>235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-37193712</v>
      </c>
      <c r="K79" s="53">
        <f>K80-K81</f>
        <v>7449509.79</v>
      </c>
    </row>
    <row r="80" spans="1:11" ht="12.75">
      <c r="A80" s="215" t="s">
        <v>167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>
        <v>7449509.79</v>
      </c>
    </row>
    <row r="81" spans="1:11" ht="12.75">
      <c r="A81" s="215" t="s">
        <v>168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37193712</v>
      </c>
      <c r="K81" s="7"/>
    </row>
    <row r="82" spans="1:11" ht="12.75">
      <c r="A82" s="204" t="s">
        <v>236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44644181</v>
      </c>
      <c r="K82" s="53">
        <f>K83-K84</f>
        <v>-124293939.46</v>
      </c>
    </row>
    <row r="83" spans="1:11" ht="12.75">
      <c r="A83" s="215" t="s">
        <v>169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44644181</v>
      </c>
      <c r="K83" s="7"/>
    </row>
    <row r="84" spans="1:11" ht="12.75">
      <c r="A84" s="215" t="s">
        <v>170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>
        <v>124293939.46</v>
      </c>
    </row>
    <row r="85" spans="1:11" ht="12.75">
      <c r="A85" s="204" t="s">
        <v>171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>
        <v>16855018</v>
      </c>
      <c r="K85" s="7">
        <v>14369366.13</v>
      </c>
    </row>
    <row r="86" spans="1:11" ht="12.75">
      <c r="A86" s="207" t="s">
        <v>17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26744892</v>
      </c>
      <c r="K86" s="53">
        <f>SUM(K87:K89)</f>
        <v>26740796.12</v>
      </c>
    </row>
    <row r="87" spans="1:11" ht="12.75">
      <c r="A87" s="204" t="s">
        <v>127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128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129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26744892</v>
      </c>
      <c r="K89" s="7">
        <v>26740796.12</v>
      </c>
    </row>
    <row r="90" spans="1:11" ht="12.75">
      <c r="A90" s="207" t="s">
        <v>18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692016888</v>
      </c>
      <c r="K90" s="53">
        <f>SUM(K91:K99)</f>
        <v>779433285.1800001</v>
      </c>
    </row>
    <row r="91" spans="1:11" ht="12.75">
      <c r="A91" s="204" t="s">
        <v>130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240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686356671</v>
      </c>
      <c r="K93" s="7">
        <v>774197671.32</v>
      </c>
    </row>
    <row r="94" spans="1:11" ht="12.75">
      <c r="A94" s="204" t="s">
        <v>241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242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243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92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90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5594651</v>
      </c>
      <c r="K98" s="7">
        <v>5170047.26</v>
      </c>
    </row>
    <row r="99" spans="1:11" ht="12.75">
      <c r="A99" s="204" t="s">
        <v>91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65566</v>
      </c>
      <c r="K99" s="7">
        <v>65566.6</v>
      </c>
    </row>
    <row r="100" spans="1:11" ht="12.75">
      <c r="A100" s="207" t="s">
        <v>19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212500588</v>
      </c>
      <c r="K100" s="53">
        <f>SUM(K101:K112)</f>
        <v>302977004.58</v>
      </c>
    </row>
    <row r="101" spans="1:11" ht="12.75">
      <c r="A101" s="204" t="s">
        <v>130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240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4345</v>
      </c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141153553</v>
      </c>
      <c r="K103" s="7">
        <v>89715261.79</v>
      </c>
    </row>
    <row r="104" spans="1:11" ht="12.75">
      <c r="A104" s="204" t="s">
        <v>241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7853029</v>
      </c>
      <c r="K104" s="7">
        <v>90757925.74</v>
      </c>
    </row>
    <row r="105" spans="1:11" ht="12.75">
      <c r="A105" s="204" t="s">
        <v>242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40281882</v>
      </c>
      <c r="K105" s="7">
        <v>86186218.41</v>
      </c>
    </row>
    <row r="106" spans="1:11" ht="12.75">
      <c r="A106" s="204" t="s">
        <v>243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92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93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11727784</v>
      </c>
      <c r="K108" s="7">
        <v>18006699.63</v>
      </c>
    </row>
    <row r="109" spans="1:11" ht="12.75">
      <c r="A109" s="204" t="s">
        <v>94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7695213</v>
      </c>
      <c r="K109" s="7">
        <v>13101412.3</v>
      </c>
    </row>
    <row r="110" spans="1:11" ht="12.75">
      <c r="A110" s="204" t="s">
        <v>97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95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96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3784782</v>
      </c>
      <c r="K112" s="7">
        <v>5209486.71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36678925</v>
      </c>
      <c r="K113" s="7">
        <v>29591554.85</v>
      </c>
    </row>
    <row r="114" spans="1:11" ht="12.75">
      <c r="A114" s="207" t="s">
        <v>23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2657721773</v>
      </c>
      <c r="K114" s="53">
        <f>K69+K86+K90+K100+K113</f>
        <v>2702755204.2</v>
      </c>
    </row>
    <row r="115" spans="1:11" ht="12.75">
      <c r="A115" s="193" t="s">
        <v>55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54977227</v>
      </c>
      <c r="K115" s="8">
        <v>54938065.82</v>
      </c>
    </row>
    <row r="116" spans="1:11" ht="12.75">
      <c r="A116" s="196" t="s">
        <v>307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183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6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v>1672925462</v>
      </c>
      <c r="K118" s="7">
        <f>+K69-K119</f>
        <v>1549643197.34</v>
      </c>
    </row>
    <row r="119" spans="1:11" ht="12.75">
      <c r="A119" s="210" t="s">
        <v>7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>
        <v>16855018</v>
      </c>
      <c r="K119" s="8">
        <f>+K85</f>
        <v>14369366.13</v>
      </c>
    </row>
    <row r="120" spans="1:11" ht="12.75">
      <c r="A120" s="213" t="s">
        <v>308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K118:K119" unlockedFormula="1"/>
    <ignoredError sqref="J35:K35 J56:K57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1">
      <selection activeCell="P63" sqref="P6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10.421875" style="52" bestFit="1" customWidth="1"/>
    <col min="13" max="13" width="10.28125" style="52" customWidth="1"/>
    <col min="14" max="14" width="11.28125" style="52" bestFit="1" customWidth="1"/>
    <col min="15" max="15" width="12.00390625" style="52" bestFit="1" customWidth="1"/>
    <col min="16" max="16384" width="9.140625" style="52" customWidth="1"/>
  </cols>
  <sheetData>
    <row r="1" spans="1:13" ht="12.75" customHeight="1">
      <c r="A1" s="228" t="s">
        <v>152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57</v>
      </c>
      <c r="B4" s="251"/>
      <c r="C4" s="251"/>
      <c r="D4" s="251"/>
      <c r="E4" s="251"/>
      <c r="F4" s="251"/>
      <c r="G4" s="251"/>
      <c r="H4" s="251"/>
      <c r="I4" s="58" t="s">
        <v>276</v>
      </c>
      <c r="J4" s="252" t="s">
        <v>316</v>
      </c>
      <c r="K4" s="252"/>
      <c r="L4" s="252" t="s">
        <v>317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4" ht="12.75">
      <c r="A7" s="200" t="s">
        <v>24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288461929</v>
      </c>
      <c r="K7" s="54">
        <f>SUM(K8:K9)</f>
        <v>271721223</v>
      </c>
      <c r="L7" s="54">
        <f>SUM(L8:L9)</f>
        <v>311722106.5</v>
      </c>
      <c r="M7" s="54">
        <f>SUM(M8:M9)</f>
        <v>287978582.5</v>
      </c>
      <c r="N7" s="128"/>
    </row>
    <row r="8" spans="1:13" ht="12.75">
      <c r="A8" s="207" t="s">
        <v>150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284112263</v>
      </c>
      <c r="K8" s="7">
        <v>268991590</v>
      </c>
      <c r="L8" s="7">
        <v>305638819.16</v>
      </c>
      <c r="M8" s="7">
        <f>+L8-21954225</f>
        <v>283684594.16</v>
      </c>
    </row>
    <row r="9" spans="1:13" ht="12.75">
      <c r="A9" s="207" t="s">
        <v>101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4349666</v>
      </c>
      <c r="K9" s="7">
        <v>2729633</v>
      </c>
      <c r="L9" s="7">
        <f>5962154.13+121133.21</f>
        <v>6083287.34</v>
      </c>
      <c r="M9" s="7">
        <f>+L9-1789299</f>
        <v>4293988.34</v>
      </c>
    </row>
    <row r="10" spans="1:15" ht="12.75">
      <c r="A10" s="207" t="s">
        <v>10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376101955</v>
      </c>
      <c r="K10" s="53">
        <f>K11+K12+K16+K20+K21+K22+K25+K26</f>
        <v>252984980</v>
      </c>
      <c r="L10" s="53">
        <f>L11+L12+L16+L20+L21+L22+L25+L26</f>
        <v>435020930.11999995</v>
      </c>
      <c r="M10" s="53">
        <f>M11+M12+M16+M20+M21+M22+M25+M26</f>
        <v>277368630.11999995</v>
      </c>
      <c r="N10" s="128"/>
      <c r="O10" s="128"/>
    </row>
    <row r="11" spans="1:13" ht="12.75">
      <c r="A11" s="207" t="s">
        <v>102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4" ht="12.75">
      <c r="A12" s="207" t="s">
        <v>20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120862627</v>
      </c>
      <c r="K12" s="53">
        <f>SUM(K13:K15)</f>
        <v>101481186</v>
      </c>
      <c r="L12" s="53">
        <f>SUM(L13:L15)</f>
        <v>149660317.75</v>
      </c>
      <c r="M12" s="53">
        <f>SUM(M13:M15)</f>
        <v>110152983.75</v>
      </c>
      <c r="N12" s="128"/>
    </row>
    <row r="13" spans="1:13" ht="12.75">
      <c r="A13" s="204" t="s">
        <v>144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70262758</v>
      </c>
      <c r="K13" s="7">
        <v>60911008</v>
      </c>
      <c r="L13" s="7">
        <v>72386033.16</v>
      </c>
      <c r="M13" s="7">
        <f>+L13-13144452</f>
        <v>59241581.16</v>
      </c>
    </row>
    <row r="14" spans="1:13" ht="12.75">
      <c r="A14" s="204" t="s">
        <v>145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272994</v>
      </c>
      <c r="K14" s="7">
        <v>242081</v>
      </c>
      <c r="L14" s="7">
        <v>296068.85</v>
      </c>
      <c r="M14" s="7">
        <f>+L14-31296</f>
        <v>264772.85</v>
      </c>
    </row>
    <row r="15" spans="1:13" ht="12.75">
      <c r="A15" s="204" t="s">
        <v>59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50326875</v>
      </c>
      <c r="K15" s="7">
        <v>40328097</v>
      </c>
      <c r="L15" s="7">
        <v>76978215.74</v>
      </c>
      <c r="M15" s="7">
        <f>+L15-26331586</f>
        <v>50646629.739999995</v>
      </c>
    </row>
    <row r="16" spans="1:13" ht="12.75">
      <c r="A16" s="207" t="s">
        <v>21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94729500</v>
      </c>
      <c r="K16" s="53">
        <f>SUM(K17:K19)</f>
        <v>67516087</v>
      </c>
      <c r="L16" s="53">
        <f>SUM(L17:L19)</f>
        <v>98425674.72</v>
      </c>
      <c r="M16" s="53">
        <f>SUM(M17:M19)</f>
        <v>69723022.72</v>
      </c>
    </row>
    <row r="17" spans="1:13" ht="12.75">
      <c r="A17" s="204" t="s">
        <v>60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57535081</v>
      </c>
      <c r="K17" s="7">
        <v>41248826</v>
      </c>
      <c r="L17" s="7">
        <v>60011290.94</v>
      </c>
      <c r="M17" s="7">
        <f>+L17-17652387</f>
        <v>42358903.94</v>
      </c>
    </row>
    <row r="18" spans="1:13" ht="12.75">
      <c r="A18" s="204" t="s">
        <v>61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24182343</v>
      </c>
      <c r="K18" s="7">
        <v>17233817</v>
      </c>
      <c r="L18" s="7">
        <v>25488605.99</v>
      </c>
      <c r="M18" s="7">
        <f>+L18-7301038</f>
        <v>18187567.99</v>
      </c>
    </row>
    <row r="19" spans="1:13" ht="12.75">
      <c r="A19" s="204" t="s">
        <v>62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13012076</v>
      </c>
      <c r="K19" s="7">
        <v>9033444</v>
      </c>
      <c r="L19" s="7">
        <v>12925777.79</v>
      </c>
      <c r="M19" s="7">
        <f>+L19-3749227</f>
        <v>9176550.79</v>
      </c>
    </row>
    <row r="20" spans="1:13" ht="12.75">
      <c r="A20" s="207" t="s">
        <v>103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92945666</v>
      </c>
      <c r="K20" s="7">
        <v>46423804</v>
      </c>
      <c r="L20" s="7">
        <v>110546132.61</v>
      </c>
      <c r="M20" s="7">
        <f>+L20-55260729</f>
        <v>55285403.61</v>
      </c>
    </row>
    <row r="21" spans="1:13" ht="12.75">
      <c r="A21" s="207" t="s">
        <v>104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66146588</v>
      </c>
      <c r="K21" s="7">
        <v>36683479</v>
      </c>
      <c r="L21" s="7">
        <v>73487638.85</v>
      </c>
      <c r="M21" s="7">
        <f>+L21-33402735</f>
        <v>40084903.849999994</v>
      </c>
    </row>
    <row r="22" spans="1:13" ht="12.75">
      <c r="A22" s="207" t="s">
        <v>22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80784</v>
      </c>
      <c r="K22" s="53">
        <f>SUM(K23:K24)</f>
        <v>80784</v>
      </c>
      <c r="L22" s="53">
        <f>SUM(L23:L24)</f>
        <v>1363</v>
      </c>
      <c r="M22" s="53">
        <f>SUM(M23:M24)</f>
        <v>1363</v>
      </c>
    </row>
    <row r="23" spans="1:13" ht="12.75">
      <c r="A23" s="204" t="s">
        <v>135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136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80784</v>
      </c>
      <c r="K24" s="7">
        <v>80784</v>
      </c>
      <c r="L24" s="7">
        <v>1363</v>
      </c>
      <c r="M24" s="7">
        <f>+L24-0</f>
        <v>1363</v>
      </c>
    </row>
    <row r="25" spans="1:13" ht="12.75">
      <c r="A25" s="207" t="s">
        <v>105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48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1336790</v>
      </c>
      <c r="K26" s="7">
        <v>799640</v>
      </c>
      <c r="L26" s="7">
        <v>2899803.19</v>
      </c>
      <c r="M26" s="7">
        <f>+L26-778850</f>
        <v>2120953.19</v>
      </c>
    </row>
    <row r="27" spans="1:14" ht="12.75">
      <c r="A27" s="207" t="s">
        <v>210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6709136</v>
      </c>
      <c r="K27" s="53">
        <f>SUM(K28:K32)</f>
        <v>4762020</v>
      </c>
      <c r="L27" s="53">
        <f>SUM(L28:L32)</f>
        <v>6701331.779999999</v>
      </c>
      <c r="M27" s="53">
        <f>SUM(M28:M32)</f>
        <v>4100949.78</v>
      </c>
      <c r="N27" s="128"/>
    </row>
    <row r="28" spans="1:13" ht="12.75">
      <c r="A28" s="207" t="s">
        <v>224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153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4507287</v>
      </c>
      <c r="K29" s="7">
        <v>2877138</v>
      </c>
      <c r="L29" s="7">
        <v>3670094.13</v>
      </c>
      <c r="M29" s="7">
        <f>+L29-959110</f>
        <v>2710984.13</v>
      </c>
    </row>
    <row r="30" spans="1:13" ht="12.75">
      <c r="A30" s="207" t="s">
        <v>137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220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2050412</v>
      </c>
      <c r="K31" s="7">
        <v>2050412</v>
      </c>
      <c r="L31" s="7">
        <v>1284817.09</v>
      </c>
      <c r="M31" s="7">
        <f>+L31-639700</f>
        <v>645117.0900000001</v>
      </c>
    </row>
    <row r="32" spans="1:13" ht="12.75">
      <c r="A32" s="207" t="s">
        <v>138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151437</v>
      </c>
      <c r="K32" s="7">
        <v>-165530</v>
      </c>
      <c r="L32" s="7">
        <v>1746420.56</v>
      </c>
      <c r="M32" s="7">
        <f>+L32-1001572</f>
        <v>744848.56</v>
      </c>
    </row>
    <row r="33" spans="1:15" ht="12.75">
      <c r="A33" s="207" t="s">
        <v>211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14448004</v>
      </c>
      <c r="K33" s="53">
        <f>SUM(K34:K37)</f>
        <v>7827234</v>
      </c>
      <c r="L33" s="53">
        <f>SUM(L34:L37)</f>
        <v>10105184.490000002</v>
      </c>
      <c r="M33" s="53">
        <f>SUM(M34:M37)</f>
        <v>5478107.49</v>
      </c>
      <c r="N33" s="128"/>
      <c r="O33" s="128"/>
    </row>
    <row r="34" spans="1:13" ht="12.75">
      <c r="A34" s="207" t="s">
        <v>64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63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13997283</v>
      </c>
      <c r="K35" s="7">
        <v>7617646</v>
      </c>
      <c r="L35" s="7">
        <v>9512302.13</v>
      </c>
      <c r="M35" s="7">
        <f>+L35-4485092</f>
        <v>5027210.130000001</v>
      </c>
    </row>
    <row r="36" spans="1:14" ht="12.75">
      <c r="A36" s="207" t="s">
        <v>221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269762</v>
      </c>
      <c r="K36" s="7">
        <v>144770</v>
      </c>
      <c r="L36" s="7">
        <v>132837.72</v>
      </c>
      <c r="M36" s="7">
        <f>+L36-73438</f>
        <v>59399.72</v>
      </c>
      <c r="N36" s="128"/>
    </row>
    <row r="37" spans="1:13" ht="12.75">
      <c r="A37" s="207" t="s">
        <v>65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180959</v>
      </c>
      <c r="K37" s="7">
        <v>64818</v>
      </c>
      <c r="L37" s="7">
        <v>460044.64</v>
      </c>
      <c r="M37" s="7">
        <f>+L37-68547</f>
        <v>391497.64</v>
      </c>
    </row>
    <row r="38" spans="1:13" ht="12.75">
      <c r="A38" s="207" t="s">
        <v>192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193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222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223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4" ht="12.75">
      <c r="A42" s="207" t="s">
        <v>212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295171065</v>
      </c>
      <c r="K42" s="53">
        <f>K7+K27+K38+K40</f>
        <v>276483243</v>
      </c>
      <c r="L42" s="53">
        <f>L7+L27+L38+L40</f>
        <v>318423438.28</v>
      </c>
      <c r="M42" s="53">
        <f>M7+M27+M38+M40</f>
        <v>292079532.28</v>
      </c>
      <c r="N42" s="128"/>
    </row>
    <row r="43" spans="1:14" ht="12.75">
      <c r="A43" s="207" t="s">
        <v>213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390549959</v>
      </c>
      <c r="K43" s="53">
        <f>K10+K33+K39+K41</f>
        <v>260812214</v>
      </c>
      <c r="L43" s="53">
        <f>L10+L33+L39+L41</f>
        <v>445126114.60999995</v>
      </c>
      <c r="M43" s="53">
        <f>M10+M33+M39+M41</f>
        <v>282846737.60999995</v>
      </c>
      <c r="N43" s="128"/>
    </row>
    <row r="44" spans="1:15" ht="12.75">
      <c r="A44" s="207" t="s">
        <v>233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-95378894</v>
      </c>
      <c r="K44" s="53">
        <f>K42-K43</f>
        <v>15671029</v>
      </c>
      <c r="L44" s="53">
        <f>L42-L43</f>
        <v>-126702676.32999998</v>
      </c>
      <c r="M44" s="53">
        <f>M42-M43</f>
        <v>9232794.670000017</v>
      </c>
      <c r="N44" s="128"/>
      <c r="O44" s="128"/>
    </row>
    <row r="45" spans="1:14" ht="12.75">
      <c r="A45" s="215" t="s">
        <v>215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15671029</v>
      </c>
      <c r="L45" s="53">
        <f>IF(L42&gt;L43,L42-L43,0)</f>
        <v>0</v>
      </c>
      <c r="M45" s="53">
        <f>IF(M42&gt;M43,M42-M43,0)</f>
        <v>9232794.670000017</v>
      </c>
      <c r="N45" s="128"/>
    </row>
    <row r="46" spans="1:15" ht="12.75">
      <c r="A46" s="215" t="s">
        <v>216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95378894</v>
      </c>
      <c r="K46" s="53">
        <f>IF(K43&gt;K42,K43-K42,0)</f>
        <v>0</v>
      </c>
      <c r="L46" s="53">
        <f>IF(L43&gt;L42,L43-L42,0)</f>
        <v>126702676.32999998</v>
      </c>
      <c r="M46" s="53">
        <f>IF(M43&gt;M42,M43-M42,0)</f>
        <v>0</v>
      </c>
      <c r="O46" s="128"/>
    </row>
    <row r="47" spans="1:13" ht="12.75">
      <c r="A47" s="207" t="s">
        <v>214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234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-95378894</v>
      </c>
      <c r="K48" s="53">
        <f>K44-K47</f>
        <v>15671029</v>
      </c>
      <c r="L48" s="53">
        <f>L44-L47</f>
        <v>-126702676.32999998</v>
      </c>
      <c r="M48" s="53">
        <f>M44-M47</f>
        <v>9232794.670000017</v>
      </c>
    </row>
    <row r="49" spans="1:13" ht="12.75">
      <c r="A49" s="215" t="s">
        <v>189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15671029</v>
      </c>
      <c r="L49" s="53">
        <f>IF(L48&gt;0,L48,0)</f>
        <v>0</v>
      </c>
      <c r="M49" s="53">
        <f>IF(M48&gt;0,M48,0)</f>
        <v>9232794.670000017</v>
      </c>
    </row>
    <row r="50" spans="1:13" ht="12.75">
      <c r="A50" s="247" t="s">
        <v>217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95378894</v>
      </c>
      <c r="K50" s="61">
        <f>IF(K48&lt;0,-K48,0)</f>
        <v>0</v>
      </c>
      <c r="L50" s="61">
        <f>IF(L48&lt;0,-L48,0)</f>
        <v>126702676.32999998</v>
      </c>
      <c r="M50" s="61">
        <f>IF(M48&lt;0,-M48,0)</f>
        <v>0</v>
      </c>
    </row>
    <row r="51" spans="1:13" ht="12.75" customHeight="1">
      <c r="A51" s="196" t="s">
        <v>309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184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231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f>+J70</f>
        <v>-93896988</v>
      </c>
      <c r="K53" s="7">
        <v>15142455</v>
      </c>
      <c r="L53" s="7">
        <v>-124293939.46</v>
      </c>
      <c r="M53" s="7">
        <f>+M48-M54</f>
        <v>8885414.540000018</v>
      </c>
    </row>
    <row r="54" spans="1:14" ht="12.75">
      <c r="A54" s="244" t="s">
        <v>232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f>+J71</f>
        <v>-1481906</v>
      </c>
      <c r="K54" s="8">
        <v>528574</v>
      </c>
      <c r="L54" s="8">
        <v>-2408736.87</v>
      </c>
      <c r="M54" s="8">
        <f>+L54+2756117</f>
        <v>347380.1299999999</v>
      </c>
      <c r="N54" s="128"/>
    </row>
    <row r="55" spans="1:13" ht="12.75" customHeight="1">
      <c r="A55" s="196" t="s">
        <v>186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201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-95378894</v>
      </c>
      <c r="K56" s="6">
        <v>15671029</v>
      </c>
      <c r="L56" s="6">
        <f>+L48</f>
        <v>-126702676.32999998</v>
      </c>
      <c r="M56" s="6">
        <f>+M48</f>
        <v>9232794.670000017</v>
      </c>
    </row>
    <row r="57" spans="1:13" ht="12.75">
      <c r="A57" s="207" t="s">
        <v>218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225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226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43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227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228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229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230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219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190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191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-95378894</v>
      </c>
      <c r="K67" s="61">
        <f>K56+K66</f>
        <v>15671029</v>
      </c>
      <c r="L67" s="61">
        <f>L56+L66</f>
        <v>-126702676.32999998</v>
      </c>
      <c r="M67" s="61">
        <f>M56+M66</f>
        <v>9232794.670000017</v>
      </c>
    </row>
    <row r="68" spans="1:13" ht="12.75" customHeight="1">
      <c r="A68" s="240" t="s">
        <v>310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185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231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-93896988</v>
      </c>
      <c r="K70" s="7">
        <v>15142455</v>
      </c>
      <c r="L70" s="7">
        <f>+L53</f>
        <v>-124293939.46</v>
      </c>
      <c r="M70" s="7">
        <f>+M53</f>
        <v>8885414.540000018</v>
      </c>
    </row>
    <row r="71" spans="1:13" ht="12.75">
      <c r="A71" s="237" t="s">
        <v>232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>
        <v>-1481906</v>
      </c>
      <c r="K71" s="8">
        <v>528574</v>
      </c>
      <c r="L71" s="8">
        <f>+L54</f>
        <v>-2408736.87</v>
      </c>
      <c r="M71" s="8">
        <f>+M54</f>
        <v>347380.1299999999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1" r:id="rId1"/>
  <rowBreaks count="1" manualBreakCount="1">
    <brk id="50" max="255" man="1"/>
  </rowBreaks>
  <ignoredErrors>
    <ignoredError sqref="L9 J53:J54 L70:L71 M53:M54 M8:M39 L56:M56 M70:M71" unlockedFormula="1"/>
    <ignoredError sqref="J16:L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N52" sqref="N52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421875" style="52" bestFit="1" customWidth="1"/>
    <col min="12" max="16384" width="9.140625" style="52" customWidth="1"/>
  </cols>
  <sheetData>
    <row r="1" spans="1:11" ht="12.75" customHeight="1">
      <c r="A1" s="259" t="s">
        <v>162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345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1" t="s">
        <v>57</v>
      </c>
      <c r="B4" s="261"/>
      <c r="C4" s="261"/>
      <c r="D4" s="261"/>
      <c r="E4" s="261"/>
      <c r="F4" s="261"/>
      <c r="G4" s="261"/>
      <c r="H4" s="261"/>
      <c r="I4" s="66" t="s">
        <v>276</v>
      </c>
      <c r="J4" s="67" t="s">
        <v>316</v>
      </c>
      <c r="K4" s="67" t="s">
        <v>317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280</v>
      </c>
      <c r="K5" s="69" t="s">
        <v>281</v>
      </c>
    </row>
    <row r="6" spans="1:11" ht="12.75">
      <c r="A6" s="196" t="s">
        <v>154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38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-95378894</v>
      </c>
      <c r="K7" s="7">
        <v>-126702676</v>
      </c>
    </row>
    <row r="8" spans="1:11" ht="12.75">
      <c r="A8" s="204" t="s">
        <v>39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92945665</v>
      </c>
      <c r="K8" s="7">
        <v>110546122</v>
      </c>
    </row>
    <row r="9" spans="1:11" ht="12.75">
      <c r="A9" s="204" t="s">
        <v>40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147319085</v>
      </c>
      <c r="K9" s="7">
        <v>137745062</v>
      </c>
    </row>
    <row r="10" spans="1:11" ht="12.75">
      <c r="A10" s="204" t="s">
        <v>41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1241391</v>
      </c>
      <c r="K10" s="7">
        <v>931867</v>
      </c>
    </row>
    <row r="11" spans="1:11" ht="12.75">
      <c r="A11" s="204" t="s">
        <v>42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>
        <v>56039</v>
      </c>
    </row>
    <row r="12" spans="1:11" ht="12.75">
      <c r="A12" s="204" t="s">
        <v>49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v>724053</v>
      </c>
      <c r="K12" s="7">
        <v>4157527</v>
      </c>
    </row>
    <row r="13" spans="1:11" ht="12.75">
      <c r="A13" s="207" t="s">
        <v>155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146851300</v>
      </c>
      <c r="K13" s="53">
        <f>SUM(K7:K12)</f>
        <v>126733941</v>
      </c>
    </row>
    <row r="14" spans="1:11" ht="12.75">
      <c r="A14" s="204" t="s">
        <v>50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1120830</v>
      </c>
      <c r="K14" s="7">
        <v>882268</v>
      </c>
    </row>
    <row r="15" spans="1:11" ht="12.75">
      <c r="A15" s="204" t="s">
        <v>51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93794709</v>
      </c>
      <c r="K15" s="7">
        <v>67151275</v>
      </c>
    </row>
    <row r="16" spans="1:11" ht="12.75">
      <c r="A16" s="204" t="s">
        <v>52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1615145</v>
      </c>
      <c r="K16" s="7">
        <v>4962273</v>
      </c>
    </row>
    <row r="17" spans="1:11" ht="12.75">
      <c r="A17" s="204" t="s">
        <v>53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8561429</v>
      </c>
      <c r="K17" s="7">
        <v>5965958</v>
      </c>
    </row>
    <row r="18" spans="1:11" ht="12.75">
      <c r="A18" s="207" t="s">
        <v>156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105092113</v>
      </c>
      <c r="K18" s="53">
        <f>SUM(K14:K17)</f>
        <v>78961774</v>
      </c>
    </row>
    <row r="19" spans="1:11" ht="12.75">
      <c r="A19" s="207" t="s">
        <v>34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41759187</v>
      </c>
      <c r="K19" s="53">
        <f>IF(K13&gt;K18,K13-K18,0)</f>
        <v>47772167</v>
      </c>
    </row>
    <row r="20" spans="1:11" ht="12.75">
      <c r="A20" s="207" t="s">
        <v>35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6" t="s">
        <v>157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176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>
        <v>15750</v>
      </c>
    </row>
    <row r="23" spans="1:11" ht="12.75">
      <c r="A23" s="204" t="s">
        <v>177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178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179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180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41273</v>
      </c>
      <c r="K26" s="7"/>
    </row>
    <row r="27" spans="1:11" ht="12.75">
      <c r="A27" s="207" t="s">
        <v>166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41273</v>
      </c>
      <c r="K27" s="53">
        <f>SUM(K22:K26)</f>
        <v>15750</v>
      </c>
    </row>
    <row r="28" spans="1:11" ht="12.75">
      <c r="A28" s="204" t="s">
        <v>113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51569645</v>
      </c>
      <c r="K28" s="7">
        <v>125128803</v>
      </c>
    </row>
    <row r="29" spans="1:11" ht="12.75">
      <c r="A29" s="204" t="s">
        <v>114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251127</v>
      </c>
      <c r="K29" s="7">
        <v>38619842</v>
      </c>
    </row>
    <row r="30" spans="1:11" ht="12.75">
      <c r="A30" s="204" t="s">
        <v>14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51820772</v>
      </c>
      <c r="K31" s="53">
        <f>SUM(K28:K30)</f>
        <v>163748645</v>
      </c>
    </row>
    <row r="32" spans="1:11" ht="12.75">
      <c r="A32" s="207" t="s">
        <v>36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37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51779499</v>
      </c>
      <c r="K33" s="53">
        <f>IF(K31&gt;K27,K31-K27,0)</f>
        <v>163732895</v>
      </c>
    </row>
    <row r="34" spans="1:11" ht="12.75">
      <c r="A34" s="196" t="s">
        <v>158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172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27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42665580</v>
      </c>
      <c r="K36" s="7">
        <v>72949077</v>
      </c>
    </row>
    <row r="37" spans="1:11" ht="12.75">
      <c r="A37" s="204" t="s">
        <v>28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411926</v>
      </c>
      <c r="K37" s="7">
        <v>42901860</v>
      </c>
    </row>
    <row r="38" spans="1:11" ht="12.75">
      <c r="A38" s="207" t="s">
        <v>66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43077506</v>
      </c>
      <c r="K38" s="53">
        <f>SUM(K35:K37)</f>
        <v>115850937</v>
      </c>
    </row>
    <row r="39" spans="1:11" ht="12.75">
      <c r="A39" s="204" t="s">
        <v>29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59248979</v>
      </c>
      <c r="K39" s="7">
        <v>56136212</v>
      </c>
    </row>
    <row r="40" spans="1:11" ht="12.75">
      <c r="A40" s="204" t="s">
        <v>30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31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>
        <v>94855</v>
      </c>
    </row>
    <row r="42" spans="1:11" ht="12.75">
      <c r="A42" s="204" t="s">
        <v>32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>
        <v>1631194</v>
      </c>
      <c r="K42" s="7">
        <v>19935</v>
      </c>
    </row>
    <row r="43" spans="1:11" ht="12.75">
      <c r="A43" s="204" t="s">
        <v>33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538772</v>
      </c>
      <c r="K43" s="7">
        <v>647441</v>
      </c>
    </row>
    <row r="44" spans="1:11" ht="12.75">
      <c r="A44" s="207" t="s">
        <v>67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61418945</v>
      </c>
      <c r="K44" s="53">
        <f>SUM(K39:K43)</f>
        <v>56898443</v>
      </c>
    </row>
    <row r="45" spans="1:11" ht="12.75">
      <c r="A45" s="207" t="s">
        <v>15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58952494</v>
      </c>
    </row>
    <row r="46" spans="1:11" ht="12.75">
      <c r="A46" s="207" t="s">
        <v>16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18341439</v>
      </c>
      <c r="K46" s="53">
        <f>IF(K44&gt;K38,K44-K38,0)</f>
        <v>0</v>
      </c>
    </row>
    <row r="47" spans="1:11" ht="12.75">
      <c r="A47" s="204" t="s">
        <v>68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+J19+J32+J45</f>
        <v>41759187</v>
      </c>
      <c r="K47" s="53">
        <f>+K19+K32+K45</f>
        <v>106724661</v>
      </c>
    </row>
    <row r="48" spans="1:11" ht="12.75">
      <c r="A48" s="204" t="s">
        <v>69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+J20+J33+J46</f>
        <v>70120938</v>
      </c>
      <c r="K48" s="53">
        <f>+K20+K33+K46</f>
        <v>163732895</v>
      </c>
    </row>
    <row r="49" spans="1:11" ht="12.75">
      <c r="A49" s="204" t="s">
        <v>159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162382222</v>
      </c>
      <c r="K49" s="7">
        <v>195433539</v>
      </c>
    </row>
    <row r="50" spans="1:11" ht="12.75">
      <c r="A50" s="204" t="s">
        <v>173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174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f>+J48-J47</f>
        <v>28361751</v>
      </c>
      <c r="K51" s="7">
        <f>+K48-K47</f>
        <v>57008234</v>
      </c>
    </row>
    <row r="52" spans="1:11" ht="12.75">
      <c r="A52" s="210" t="s">
        <v>175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134020471</v>
      </c>
      <c r="K52" s="61">
        <f>K49+K50-K51</f>
        <v>138425305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1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R10" sqref="R1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347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345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57</v>
      </c>
      <c r="B4" s="261"/>
      <c r="C4" s="261"/>
      <c r="D4" s="261"/>
      <c r="E4" s="261"/>
      <c r="F4" s="261"/>
      <c r="G4" s="261"/>
      <c r="H4" s="261"/>
      <c r="I4" s="66" t="s">
        <v>276</v>
      </c>
      <c r="J4" s="67" t="s">
        <v>316</v>
      </c>
      <c r="K4" s="67" t="s">
        <v>317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280</v>
      </c>
      <c r="K5" s="73" t="s">
        <v>281</v>
      </c>
    </row>
    <row r="6" spans="1:11" ht="12.75">
      <c r="A6" s="196" t="s">
        <v>154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196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117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118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119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120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195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121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126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45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106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107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157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163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164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318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319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165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112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46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108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109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158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172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27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28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47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29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30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31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32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33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146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160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161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147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13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159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173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174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175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M14" sqref="M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4" t="s">
        <v>278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279</v>
      </c>
      <c r="D2" s="269"/>
      <c r="E2" s="77" t="s">
        <v>321</v>
      </c>
      <c r="F2" s="43" t="s">
        <v>247</v>
      </c>
      <c r="G2" s="270" t="s">
        <v>322</v>
      </c>
      <c r="H2" s="271"/>
      <c r="I2" s="74"/>
      <c r="J2" s="74"/>
      <c r="K2" s="74"/>
      <c r="L2" s="78"/>
    </row>
    <row r="3" spans="1:11" ht="23.25">
      <c r="A3" s="272" t="s">
        <v>57</v>
      </c>
      <c r="B3" s="272"/>
      <c r="C3" s="272"/>
      <c r="D3" s="272"/>
      <c r="E3" s="272"/>
      <c r="F3" s="272"/>
      <c r="G3" s="272"/>
      <c r="H3" s="272"/>
      <c r="I3" s="81" t="s">
        <v>302</v>
      </c>
      <c r="J3" s="82" t="s">
        <v>148</v>
      </c>
      <c r="K3" s="82" t="s">
        <v>149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280</v>
      </c>
      <c r="K4" s="83" t="s">
        <v>281</v>
      </c>
    </row>
    <row r="5" spans="1:11" ht="12.75">
      <c r="A5" s="274" t="s">
        <v>282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f>+Bilanca!J70</f>
        <v>1065463400</v>
      </c>
      <c r="K5" s="45">
        <f>+Bilanca!K70</f>
        <v>1065463400</v>
      </c>
    </row>
    <row r="6" spans="1:11" ht="12.75">
      <c r="A6" s="274" t="s">
        <v>283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f>+Bilanca!J71</f>
        <v>478235923</v>
      </c>
      <c r="K6" s="46">
        <f>+Bilanca!K71</f>
        <v>478208416.53</v>
      </c>
    </row>
    <row r="7" spans="1:11" ht="12.75">
      <c r="A7" s="274" t="s">
        <v>284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f>+Bilanca!J72</f>
        <v>121513407</v>
      </c>
      <c r="K7" s="46">
        <f>+Bilanca!K72</f>
        <v>122553547.08000001</v>
      </c>
    </row>
    <row r="8" spans="1:11" ht="12.75">
      <c r="A8" s="274" t="s">
        <v>285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f>+Bilanca!J79</f>
        <v>-37193712</v>
      </c>
      <c r="K8" s="46">
        <f>+Bilanca!K79</f>
        <v>7449509.79</v>
      </c>
    </row>
    <row r="9" spans="1:11" ht="12.75">
      <c r="A9" s="274" t="s">
        <v>286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f>+Bilanca!J82</f>
        <v>44644181</v>
      </c>
      <c r="K9" s="46">
        <f>+Bilanca!K82</f>
        <v>-124293939.46</v>
      </c>
    </row>
    <row r="10" spans="1:11" ht="12.75">
      <c r="A10" s="274" t="s">
        <v>287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288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289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>
        <f>+Bilanca!J78</f>
        <v>262263</v>
      </c>
      <c r="K12" s="46">
        <f>+Bilanca!K78</f>
        <v>262263.4</v>
      </c>
    </row>
    <row r="13" spans="1:11" ht="12.75">
      <c r="A13" s="274" t="s">
        <v>290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291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1672925462</v>
      </c>
      <c r="K14" s="79">
        <f>SUM(K5:K13)</f>
        <v>1549643197.34</v>
      </c>
    </row>
    <row r="15" spans="1:11" ht="12.75">
      <c r="A15" s="274" t="s">
        <v>292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293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294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295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296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297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298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299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>
        <f>+J14</f>
        <v>1672925462</v>
      </c>
      <c r="K23" s="45">
        <f>+K14</f>
        <v>1549643197.34</v>
      </c>
    </row>
    <row r="24" spans="1:11" ht="17.25" customHeight="1">
      <c r="A24" s="280" t="s">
        <v>300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>
        <f>+Bilanca!J85</f>
        <v>16855018</v>
      </c>
      <c r="K24" s="80">
        <f>+Bilanca!K85</f>
        <v>14369366.13</v>
      </c>
    </row>
    <row r="25" spans="1:11" ht="30" customHeight="1">
      <c r="A25" s="282" t="s">
        <v>301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3" r:id="rId1"/>
  <ignoredErrors>
    <ignoredError sqref="K10:K11 J23:K23 K5 K6 K7 K8 K9 J13:K21 K12 J10:J11 J5:J9 J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277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313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Martina Hrvatin1</cp:lastModifiedBy>
  <cp:lastPrinted>2013-07-19T08:40:04Z</cp:lastPrinted>
  <dcterms:created xsi:type="dcterms:W3CDTF">2008-10-17T11:51:54Z</dcterms:created>
  <dcterms:modified xsi:type="dcterms:W3CDTF">2013-07-22T09:06:10Z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