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802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<sst xmlns="http://schemas.openxmlformats.org/spreadsheetml/2006/main" count="399" uniqueCount="348">
  <si>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</si>
  <si>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</si>
  <si>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</si>
  <si>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</si>
  <si>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</si>
  <si>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</si>
  <si>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</si>
  <si>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</si>
  <si>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</si>
  <si>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</si>
  <si>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</si>
  <si>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</si>
  <si>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</si>
  <si>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</si>
  <si>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</si>
  <si>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</si>
  <si>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</si>
  <si>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</si>
  <si>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</si>
  <si>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</si>
  <si>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</si>
  <si>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</si>
  <si>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</si>
  <si>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</si>
  <si>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</si>
  <si>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</si>
  <si>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</si>
  <si>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</si>
  <si>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</si>
  <si>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</si>
  <si>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</si>
  <si>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</si>
  <si>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</si>
  <si>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</si>
  <si>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</si>
  <si>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</si>
  <si>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</si>
  <si>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</si>
  <si>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</si>
  <si>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</si>
  <si>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</si>
  <si>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</si>
  <si>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</si>
  <si>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</si>
  <si>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</si>
  <si>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</si>
  <si>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</si>
  <si>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</si>
  <si>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</si>
  <si>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</si>
  <si>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</si>
  <si>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</si>
  <si>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</si>
  <si>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</si>
  <si>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</si>
  <si>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</si>
  <si>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</si>
  <si>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</si>
  <si>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</si>
  <si>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</si>
  <si>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</si>
  <si>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</si>
  <si>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</si>
  <si>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</si>
  <si>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</si>
  <si>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</si>
  <si>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</si>
  <si>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</si>
  <si>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</si>
  <si>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</si>
  <si>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</si>
  <si>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</si>
  <si>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</si>
  <si>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</si>
  <si>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</si>
  <si>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</si>
  <si>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</si>
  <si>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</si>
  <si>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</si>
  <si>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</si>
  <si>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</si>
  <si>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</si>
  <si>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</si>
  <si>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</si>
  <si>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</si>
  <si>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</si>
  <si>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</si>
  <si>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</si>
  <si>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</si>
  <si>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</si>
  <si>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</si>
  <si>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</si>
  <si>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</si>
  <si>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</si>
  <si>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</si>
  <si>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</si>
  <si>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</si>
  <si>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</si>
  <si>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</si>
  <si>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</si>
  <si>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</si>
  <si>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</si>
  <si>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</si>
  <si>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</si>
  <si>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</si>
  <si>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</si>
  <si>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</si>
  <si>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</si>
  <si>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</si>
  <si>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</si>
  <si>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</si>
  <si>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</si>
  <si>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</si>
  <si>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</si>
  <si>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</si>
  <si>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</si>
  <si>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</si>
  <si>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</si>
  <si>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</si>
  <si>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</si>
  <si>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</si>
  <si>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</si>
  <si>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</si>
  <si>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</si>
  <si>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</si>
  <si>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</si>
  <si>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</si>
  <si>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</si>
  <si>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</si>
  <si>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</si>
  <si>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</si>
  <si>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</si>
  <si>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</si>
  <si>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</si>
  <si>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</si>
  <si>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</si>
  <si>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</si>
  <si>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</si>
  <si>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</si>
  <si>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</si>
  <si>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</si>
  <si>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</si>
  <si>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</si>
  <si>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</si>
  <si>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</si>
  <si>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</si>
  <si>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</si>
  <si>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</si>
  <si>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</si>
  <si>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</si>
  <si>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</si>
  <si>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</si>
  <si>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</si>
  <si>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</si>
  <si>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</si>
  <si>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</si>
  <si>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</si>
  <si>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</si>
  <si>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</si>
  <si>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</si>
  <si>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</si>
  <si>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</si>
  <si>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</si>
  <si>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</si>
  <si>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</si>
  <si>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</si>
  <si>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</si>
  <si>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</si>
  <si>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</si>
  <si>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</si>
  <si>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</si>
  <si>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</si>
  <si>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</si>
  <si>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</si>
  <si>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</si>
  <si>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</si>
  <si>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</si>
  <si>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</si>
  <si>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</si>
  <si>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</si>
  <si>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</si>
  <si>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</si>
  <si>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</si>
  <si>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</si>
  <si>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</si>
  <si>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</si>
  <si>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</si>
  <si>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</si>
  <si>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</si>
  <si>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</si>
  <si>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</si>
  <si>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</si>
  <si>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</si>
  <si>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</si>
  <si>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</si>
  <si>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</si>
  <si>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</si>
  <si>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</si>
  <si>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</si>
  <si>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</si>
  <si>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</si>
  <si>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</si>
  <si>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</si>
  <si>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</si>
  <si>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</si>
  <si>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</si>
  <si>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</si>
  <si>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</si>
  <si>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</si>
  <si>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</si>
  <si>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</si>
  <si>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</si>
  <si>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</si>
  <si>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</si>
  <si>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</si>
  <si>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</si>
  <si>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</si>
  <si>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</si>
  <si>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</si>
  <si>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</si>
  <si>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</si>
  <si>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</si>
  <si>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</si>
  <si>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</si>
  <si>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</si>
  <si>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</si>
  <si>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</si>
  <si>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</si>
  <si>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</si>
  <si>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</si>
  <si>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</si>
  <si>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</si>
  <si>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</si>
  <si>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</si>
  <si>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</si>
  <si>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</si>
  <si>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</si>
  <si>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</si>
  <si>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</si>
  <si>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</si>
  <si>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</si>
  <si>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</si>
  <si>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</si>
  <si>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</si>
  <si>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</si>
  <si>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</si>
  <si>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</si>
  <si>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</si>
  <si>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</si>
  <si>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</si>
  <si>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</si>
  <si>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</si>
  <si>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</si>
  <si>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</si>
  <si>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</si>
  <si>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</si>
  <si>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</si>
  <si>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</si>
  <si>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</si>
  <si>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</si>
  <si>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</si>
  <si>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</si>
  <si>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</si>
  <si>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</si>
  <si>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</si>
  <si>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</si>
  <si>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</si>
  <si>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</si>
  <si>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</si>
  <si>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</si>
  <si>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</si>
  <si>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</si>
  <si>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</si>
  <si>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</si>
  <si>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</si>
  <si>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</si>
  <si>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</si>
  <si>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</si>
  <si>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</si>
  <si>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</si>
  <si>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</si>
  <si>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</si>
  <si>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</si>
  <si>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</si>
  <si>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</si>
  <si>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</si>
  <si>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</si>
  <si>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</si>
  <si>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</si>
  <si>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</si>
  <si>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</si>
  <si>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</si>
  <si>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</si>
  <si>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</si>
  <si>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</si>
  <si>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</si>
  <si>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</si>
  <si>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</si>
  <si>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</si>
  <si>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</si>
  <si>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</si>
  <si>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</si>
  <si>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</si>
  <si>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</si>
  <si>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</si>
  <si>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</si>
  <si>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</si>
  <si>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</si>
  <si>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</si>
  <si>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</si>
  <si>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</si>
  <si>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</si>
  <si>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</si>
  <si>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</si>
  <si>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</si>
  <si>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</si>
  <si>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</si>
  <si>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</si>
  <si>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</si>
  <si>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</si>
  <si>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</si>
  <si>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</si>
  <si>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</si>
  <si>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1.1.2012.</t>
  </si>
  <si>
    <t>31.12.2012.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</si>
  <si>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</si>
  <si>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</si>
  <si>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</si>
  <si>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</si>
  <si>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</si>
  <si>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</si>
  <si>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</si>
  <si>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</si>
  <si>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</si>
  <si>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5510</t>
  </si>
  <si>
    <t>NE</t>
  </si>
  <si>
    <t>Sopta Anka</t>
  </si>
  <si>
    <t>052 408 188</t>
  </si>
  <si>
    <t>052 408 110</t>
  </si>
  <si>
    <t>anka.sopta@riviera.hr</t>
  </si>
  <si>
    <t>Černjul Edi, Čižmek Marko</t>
  </si>
  <si>
    <t>stanje na dan    31.12.2012.</t>
  </si>
  <si>
    <t>Obveznik: ____Riviera Adria d.d._________________________________________________________</t>
  </si>
  <si>
    <t>u razdoblju   01.01.2012.   do  31.12.2012.</t>
  </si>
  <si>
    <t>Obveznik: _____Riviera Adria d.d.________________________________________________________</t>
  </si>
  <si>
    <t>u razdoblju  01.01.2012.  do 31.12.2012.</t>
  </si>
  <si>
    <t>Obveznik: __Riviera Adria d.d.___________________________________________________________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</si>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</sst>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D20">
      <selection activeCell="H30" sqref="H30:I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247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248</v>
      </c>
      <c r="B2" s="135"/>
      <c r="C2" s="135"/>
      <c r="D2" s="136"/>
      <c r="E2" s="120" t="s">
        <v>323</v>
      </c>
      <c r="F2" s="12"/>
      <c r="G2" s="13" t="s">
        <v>249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316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250</v>
      </c>
      <c r="B6" s="141"/>
      <c r="C6" s="132" t="s">
        <v>325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251</v>
      </c>
      <c r="B8" s="143"/>
      <c r="C8" s="132" t="s">
        <v>326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252</v>
      </c>
      <c r="B10" s="130"/>
      <c r="C10" s="132" t="s">
        <v>327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253</v>
      </c>
      <c r="B12" s="141"/>
      <c r="C12" s="144" t="s">
        <v>328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254</v>
      </c>
      <c r="B14" s="141"/>
      <c r="C14" s="147">
        <v>52440</v>
      </c>
      <c r="D14" s="148"/>
      <c r="E14" s="16"/>
      <c r="F14" s="144" t="s">
        <v>329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255</v>
      </c>
      <c r="B16" s="141"/>
      <c r="C16" s="144" t="s">
        <v>330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256</v>
      </c>
      <c r="B18" s="141"/>
      <c r="C18" s="149" t="s">
        <v>331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257</v>
      </c>
      <c r="B20" s="141"/>
      <c r="C20" s="149" t="s">
        <v>332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258</v>
      </c>
      <c r="B22" s="141"/>
      <c r="C22" s="121">
        <v>348</v>
      </c>
      <c r="D22" s="144" t="s">
        <v>329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259</v>
      </c>
      <c r="B24" s="141"/>
      <c r="C24" s="121">
        <v>18</v>
      </c>
      <c r="D24" s="144" t="s">
        <v>333</v>
      </c>
      <c r="E24" s="152"/>
      <c r="F24" s="152"/>
      <c r="G24" s="153"/>
      <c r="H24" s="51" t="s">
        <v>260</v>
      </c>
      <c r="I24" s="122">
        <v>1262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40" t="s">
        <v>261</v>
      </c>
      <c r="B26" s="141"/>
      <c r="C26" s="123" t="s">
        <v>335</v>
      </c>
      <c r="D26" s="25"/>
      <c r="E26" s="33"/>
      <c r="F26" s="24"/>
      <c r="G26" s="155" t="s">
        <v>262</v>
      </c>
      <c r="H26" s="141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263</v>
      </c>
      <c r="B28" s="157"/>
      <c r="C28" s="158"/>
      <c r="D28" s="158"/>
      <c r="E28" s="159" t="s">
        <v>264</v>
      </c>
      <c r="F28" s="160"/>
      <c r="G28" s="160"/>
      <c r="H28" s="161" t="s">
        <v>265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266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0"/>
      <c r="H45" s="35"/>
      <c r="I45" s="107"/>
      <c r="J45" s="10"/>
      <c r="K45" s="10"/>
      <c r="L45" s="10"/>
    </row>
    <row r="46" spans="1:12" ht="12.75">
      <c r="A46" s="129" t="s">
        <v>267</v>
      </c>
      <c r="B46" s="173"/>
      <c r="C46" s="144" t="s">
        <v>336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269</v>
      </c>
      <c r="B48" s="173"/>
      <c r="C48" s="174" t="s">
        <v>337</v>
      </c>
      <c r="D48" s="175"/>
      <c r="E48" s="176"/>
      <c r="F48" s="16"/>
      <c r="G48" s="51" t="s">
        <v>270</v>
      </c>
      <c r="H48" s="174" t="s">
        <v>338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256</v>
      </c>
      <c r="B50" s="173"/>
      <c r="C50" s="185" t="s">
        <v>339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271</v>
      </c>
      <c r="B52" s="141"/>
      <c r="C52" s="174" t="s">
        <v>340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8"/>
      <c r="B53" s="20"/>
      <c r="C53" s="179" t="s">
        <v>272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273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305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306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307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308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80" t="s">
        <v>276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40">
      <selection activeCell="K98" sqref="K98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277</v>
      </c>
      <c r="J4" s="59" t="s">
        <v>318</v>
      </c>
      <c r="K4" s="60" t="s">
        <v>319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1944266434</v>
      </c>
      <c r="K8" s="53">
        <f>K9+K16+K26+K35+K39</f>
        <v>1925168239.4599996</v>
      </c>
    </row>
    <row r="9" spans="1:11" ht="12.75">
      <c r="A9" s="204" t="s">
        <v>204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1551530</v>
      </c>
      <c r="K9" s="53">
        <f>SUM(K10:K15)</f>
        <v>2041266.84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1551530</v>
      </c>
      <c r="K11" s="7">
        <v>2041266.84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207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208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209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205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1623191432</v>
      </c>
      <c r="K16" s="53">
        <f>SUM(K17:K25)</f>
        <v>1541078981.4799998</v>
      </c>
    </row>
    <row r="17" spans="1:11" ht="12.75">
      <c r="A17" s="204" t="s">
        <v>210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280045825</v>
      </c>
      <c r="K17" s="7">
        <v>280045825.32</v>
      </c>
    </row>
    <row r="18" spans="1:11" ht="12.75">
      <c r="A18" s="204" t="s">
        <v>246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1212190559</v>
      </c>
      <c r="K18" s="7">
        <v>1092696989.84</v>
      </c>
    </row>
    <row r="19" spans="1:11" ht="12.75">
      <c r="A19" s="204" t="s">
        <v>211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84252281</v>
      </c>
      <c r="K19" s="7">
        <v>100167205.07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20724954</v>
      </c>
      <c r="K20" s="7">
        <v>26663974.06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214853</v>
      </c>
      <c r="K22" s="7">
        <v>9075866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16216563</v>
      </c>
      <c r="K23" s="7">
        <v>19080376.25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9546397</v>
      </c>
      <c r="K24" s="7">
        <v>13348744.94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189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317189296</v>
      </c>
      <c r="K26" s="53">
        <f>SUM(K27:K34)</f>
        <v>380045545.85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314265550</v>
      </c>
      <c r="K27" s="7">
        <v>314771374.25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>
        <v>63383241.6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140000</v>
      </c>
      <c r="K29" s="7">
        <v>140000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2783746</v>
      </c>
      <c r="K31" s="7">
        <v>1750930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322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183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616707</v>
      </c>
      <c r="K35" s="53">
        <f>SUM(K36:K38)</f>
        <v>284976.57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616707</v>
      </c>
      <c r="K38" s="7">
        <v>284976.57</v>
      </c>
    </row>
    <row r="39" spans="1:11" ht="12.75">
      <c r="A39" s="204" t="s">
        <v>184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1717469</v>
      </c>
      <c r="K39" s="7">
        <v>1717468.72</v>
      </c>
    </row>
    <row r="40" spans="1:11" ht="12.75">
      <c r="A40" s="207" t="s">
        <v>239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186107076</v>
      </c>
      <c r="K40" s="53">
        <f>K41+K49+K56+K64</f>
        <v>225163551.92000002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4029233</v>
      </c>
      <c r="K41" s="53">
        <f>SUM(K42:K48)</f>
        <v>4549099.1899999995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3153762</v>
      </c>
      <c r="K42" s="7">
        <v>3564913.31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740909</v>
      </c>
      <c r="K44" s="7">
        <v>740909.04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134562</v>
      </c>
      <c r="K45" s="7">
        <v>243276.84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21436127</v>
      </c>
      <c r="K49" s="53">
        <f>SUM(K50:K55)</f>
        <v>21991824.71</v>
      </c>
    </row>
    <row r="50" spans="1:11" ht="12.75">
      <c r="A50" s="204" t="s">
        <v>199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568087</v>
      </c>
      <c r="K50" s="7">
        <v>673275.9</v>
      </c>
    </row>
    <row r="51" spans="1:11" ht="12.75">
      <c r="A51" s="204" t="s">
        <v>200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9936171</v>
      </c>
      <c r="K51" s="7">
        <v>7176205.6</v>
      </c>
    </row>
    <row r="52" spans="1:11" ht="12.75">
      <c r="A52" s="204" t="s">
        <v>201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202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230742</v>
      </c>
      <c r="K53" s="7">
        <v>366836.06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8239944</v>
      </c>
      <c r="K54" s="7">
        <v>11418873.44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2461183</v>
      </c>
      <c r="K55" s="7">
        <v>2356633.71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2089119</v>
      </c>
      <c r="K56" s="53">
        <f>SUM(K57:K63)</f>
        <v>7288855.28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>
        <v>6036499.2</v>
      </c>
    </row>
    <row r="59" spans="1:11" ht="12.75">
      <c r="A59" s="204" t="s">
        <v>241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996275</v>
      </c>
      <c r="K61" s="7">
        <v>1083853.44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/>
      <c r="K62" s="7"/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1092844</v>
      </c>
      <c r="K63" s="7">
        <v>168502.64</v>
      </c>
    </row>
    <row r="64" spans="1:11" ht="12.75">
      <c r="A64" s="204" t="s">
        <v>206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158552597</v>
      </c>
      <c r="K64" s="7">
        <v>191333772.74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11396314</v>
      </c>
      <c r="K65" s="7">
        <v>18870274.8</v>
      </c>
    </row>
    <row r="66" spans="1:11" ht="12.75">
      <c r="A66" s="207" t="s">
        <v>240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2141769824</v>
      </c>
      <c r="K66" s="53">
        <f>K7+K8+K40+K65</f>
        <v>2169202066.18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99165729</v>
      </c>
      <c r="K67" s="8">
        <v>54977227.62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190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1703745606</v>
      </c>
      <c r="K69" s="54">
        <f>K70+K71+K72+K78+K79+K82+K85</f>
        <v>1720915111.8200002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1065463400</v>
      </c>
      <c r="K70" s="7">
        <v>1065463400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478814684</v>
      </c>
      <c r="K71" s="7">
        <v>478235922.9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156620161</v>
      </c>
      <c r="K72" s="53">
        <f>K73+K74-K75+K76+K77</f>
        <v>121712772.65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57792194</v>
      </c>
      <c r="K73" s="7">
        <v>57792193.88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9425815</v>
      </c>
      <c r="K74" s="7">
        <v>52225815.58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8721280</v>
      </c>
      <c r="K75" s="7">
        <v>45420531.92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98123432</v>
      </c>
      <c r="K77" s="7">
        <v>57115295.11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1055498</v>
      </c>
      <c r="K78" s="7">
        <v>262263.4</v>
      </c>
    </row>
    <row r="79" spans="1:11" ht="12.75">
      <c r="A79" s="204" t="s">
        <v>237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238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1791863</v>
      </c>
      <c r="K82" s="53">
        <f>K83-K84</f>
        <v>55240752.87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1791863</v>
      </c>
      <c r="K83" s="7">
        <v>55240752.87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358217</v>
      </c>
      <c r="K86" s="53">
        <f>SUM(K87:K89)</f>
        <v>358216.69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358217</v>
      </c>
      <c r="K89" s="7">
        <v>358216.69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284387861</v>
      </c>
      <c r="K90" s="53">
        <f>SUM(K91:K99)</f>
        <v>295564390.19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242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281940655</v>
      </c>
      <c r="K93" s="7">
        <v>294599270.25</v>
      </c>
    </row>
    <row r="94" spans="1:11" ht="12.75">
      <c r="A94" s="204" t="s">
        <v>243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244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245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2183331</v>
      </c>
      <c r="K98" s="7">
        <v>899553.34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263875</v>
      </c>
      <c r="K99" s="7">
        <v>65566.6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128534270</v>
      </c>
      <c r="K100" s="53">
        <f>SUM(K101:K112)</f>
        <v>123222597.41999999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231884</v>
      </c>
      <c r="K101" s="7">
        <v>2767.63</v>
      </c>
    </row>
    <row r="102" spans="1:11" ht="12.75">
      <c r="A102" s="204" t="s">
        <v>242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54457</v>
      </c>
      <c r="K102" s="7">
        <v>3983.5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75958566</v>
      </c>
      <c r="K103" s="7">
        <v>72647275.34</v>
      </c>
    </row>
    <row r="104" spans="1:11" ht="12.75">
      <c r="A104" s="204" t="s">
        <v>243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4909660</v>
      </c>
      <c r="K104" s="7">
        <v>5987728.61</v>
      </c>
    </row>
    <row r="105" spans="1:11" ht="12.75">
      <c r="A105" s="204" t="s">
        <v>244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33846768</v>
      </c>
      <c r="K105" s="7">
        <v>30735479.96</v>
      </c>
    </row>
    <row r="106" spans="1:11" ht="12.75">
      <c r="A106" s="204" t="s">
        <v>245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7880192</v>
      </c>
      <c r="K108" s="7">
        <v>8233987.84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3625968</v>
      </c>
      <c r="K109" s="7">
        <v>3634866.19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2026775</v>
      </c>
      <c r="K112" s="7">
        <v>1976508.35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24743870</v>
      </c>
      <c r="K113" s="7">
        <v>29141749.58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2141769824</v>
      </c>
      <c r="K114" s="53">
        <f>K69+K86+K90+K100+K113</f>
        <v>2169202065.7000003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99165729</v>
      </c>
      <c r="K115" s="8">
        <v>54977227.62</v>
      </c>
    </row>
    <row r="116" spans="1:11" ht="12.75">
      <c r="A116" s="196" t="s">
        <v>309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310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37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421875" style="52" bestFit="1" customWidth="1"/>
    <col min="12" max="12" width="9.8515625" style="52" customWidth="1"/>
    <col min="13" max="13" width="10.28125" style="52" customWidth="1"/>
    <col min="14" max="14" width="12.00390625" style="52" bestFit="1" customWidth="1"/>
    <col min="15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278</v>
      </c>
      <c r="J4" s="252" t="s">
        <v>318</v>
      </c>
      <c r="K4" s="252"/>
      <c r="L4" s="252" t="s">
        <v>319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530035818</v>
      </c>
      <c r="K7" s="54">
        <f>SUM(K8:K9)</f>
        <v>29372540</v>
      </c>
      <c r="L7" s="54">
        <f>SUM(L8:L9)</f>
        <v>751764364.7</v>
      </c>
      <c r="M7" s="54">
        <f>SUM(M8:M9)</f>
        <v>31125011.700000055</v>
      </c>
      <c r="N7" s="128"/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522444019</v>
      </c>
      <c r="K8" s="7">
        <v>26370826</v>
      </c>
      <c r="L8" s="7">
        <v>745132924.94</v>
      </c>
      <c r="M8" s="7">
        <f>+L8-715528633</f>
        <v>29604291.940000057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7591799</v>
      </c>
      <c r="K9" s="7">
        <v>3001714</v>
      </c>
      <c r="L9" s="7">
        <f>244136.71+6387303.05</f>
        <v>6631439.76</v>
      </c>
      <c r="M9" s="7">
        <f>+L9-5110720</f>
        <v>1520719.7599999998</v>
      </c>
    </row>
    <row r="10" spans="1:14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515147500</v>
      </c>
      <c r="K10" s="53">
        <f>K11+K12+K16+K20+K21+K22+K25+K26</f>
        <v>138023511</v>
      </c>
      <c r="L10" s="53">
        <f>L11+L12+L16+L20+L21+L22+L25+L26</f>
        <v>702673864.95</v>
      </c>
      <c r="M10" s="53">
        <f>M11+M12+M16+M20+M21+M22+M25+M26</f>
        <v>174097265.95000002</v>
      </c>
      <c r="N10" s="128"/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4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179418578</v>
      </c>
      <c r="K12" s="53">
        <f>SUM(K13:K15)</f>
        <v>34121178</v>
      </c>
      <c r="L12" s="53">
        <f>SUM(L13:L15)</f>
        <v>239661566.76999998</v>
      </c>
      <c r="M12" s="53">
        <f>SUM(M13:M15)</f>
        <v>31420395.769999996</v>
      </c>
      <c r="N12" s="128"/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96972360</v>
      </c>
      <c r="K13" s="7">
        <v>11961729</v>
      </c>
      <c r="L13" s="7">
        <v>128268330.81</v>
      </c>
      <c r="M13" s="7">
        <f>+L13-116395408</f>
        <v>11872922.810000002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1747418</v>
      </c>
      <c r="K14" s="7">
        <v>154736</v>
      </c>
      <c r="L14" s="7">
        <v>946933.19</v>
      </c>
      <c r="M14" s="7">
        <f>+L14-834653</f>
        <v>112280.18999999994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80698800</v>
      </c>
      <c r="K15" s="7">
        <v>22004713</v>
      </c>
      <c r="L15" s="7">
        <v>110446302.77</v>
      </c>
      <c r="M15" s="7">
        <f>+L15-91011110</f>
        <v>19435192.769999996</v>
      </c>
    </row>
    <row r="16" spans="1:14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133210463</v>
      </c>
      <c r="K16" s="53">
        <f>SUM(K17:K19)</f>
        <v>37498371</v>
      </c>
      <c r="L16" s="53">
        <f>SUM(L17:L19)</f>
        <v>169439404.73</v>
      </c>
      <c r="M16" s="53">
        <f>SUM(M17:M19)</f>
        <v>41364589.730000004</v>
      </c>
      <c r="N16" s="128"/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80940804</v>
      </c>
      <c r="K17" s="7">
        <v>23053583</v>
      </c>
      <c r="L17" s="7">
        <v>104756822.61</v>
      </c>
      <c r="M17" s="7">
        <f>+L17-78580975</f>
        <v>26175847.61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33098088</v>
      </c>
      <c r="K18" s="7">
        <v>9123440</v>
      </c>
      <c r="L18" s="7">
        <v>42485617.42</v>
      </c>
      <c r="M18" s="7">
        <f>+L18-32458374</f>
        <v>10027243.420000002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19171571</v>
      </c>
      <c r="K19" s="7">
        <v>5321348</v>
      </c>
      <c r="L19" s="7">
        <v>22196964.7</v>
      </c>
      <c r="M19" s="7">
        <f>+L19-17035466</f>
        <v>5161498.699999999</v>
      </c>
    </row>
    <row r="20" spans="1:14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113233958</v>
      </c>
      <c r="K20" s="7">
        <v>35886031</v>
      </c>
      <c r="L20" s="7">
        <v>160486935.89</v>
      </c>
      <c r="M20" s="7">
        <f>+L20-101519067</f>
        <v>58967868.889999986</v>
      </c>
      <c r="N20" s="128"/>
    </row>
    <row r="21" spans="1:14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85227670</v>
      </c>
      <c r="K21" s="7">
        <v>27997491</v>
      </c>
      <c r="L21" s="7">
        <v>120606590.74</v>
      </c>
      <c r="M21" s="7">
        <f>+L21-88711016</f>
        <v>31895574.739999995</v>
      </c>
      <c r="N21" s="128"/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148621</v>
      </c>
      <c r="K22" s="53">
        <f>SUM(K23:K24)</f>
        <v>148621</v>
      </c>
      <c r="L22" s="53">
        <f>SUM(L23:L24)</f>
        <v>210422.58</v>
      </c>
      <c r="M22" s="53">
        <f>SUM(M23:M24)</f>
        <v>129638.57999999999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148621</v>
      </c>
      <c r="K24" s="7">
        <v>148621</v>
      </c>
      <c r="L24" s="7">
        <v>210422.58</v>
      </c>
      <c r="M24" s="7">
        <f>+L24-80784</f>
        <v>129638.57999999999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519465</v>
      </c>
      <c r="K25" s="7">
        <v>519465</v>
      </c>
      <c r="L25" s="7">
        <v>967885.94</v>
      </c>
      <c r="M25" s="7">
        <f>+L25-440400</f>
        <v>527485.94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3388745</v>
      </c>
      <c r="K26" s="7">
        <v>1852354</v>
      </c>
      <c r="L26" s="7">
        <v>11301058.3</v>
      </c>
      <c r="M26" s="7">
        <f>+L26-1509346</f>
        <v>9791712.3</v>
      </c>
    </row>
    <row r="27" spans="1:13" ht="12.75">
      <c r="A27" s="207" t="s">
        <v>212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8225608</v>
      </c>
      <c r="K27" s="53">
        <f>SUM(K28:K32)</f>
        <v>5829645</v>
      </c>
      <c r="L27" s="53">
        <f>SUM(L28:L32)</f>
        <v>22103942.21</v>
      </c>
      <c r="M27" s="53">
        <f>SUM(M28:M32)</f>
        <v>12625959.210000003</v>
      </c>
    </row>
    <row r="28" spans="1:13" ht="12.75">
      <c r="A28" s="207" t="s">
        <v>226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197</v>
      </c>
      <c r="K28" s="7">
        <v>197</v>
      </c>
      <c r="L28" s="7">
        <v>1924016.21</v>
      </c>
      <c r="M28" s="7">
        <f>+L28-631819</f>
        <v>1292197.21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7851002</v>
      </c>
      <c r="K29" s="7">
        <v>5805288</v>
      </c>
      <c r="L29" s="7">
        <v>16900677.85</v>
      </c>
      <c r="M29" s="7">
        <f>+L29-7057810</f>
        <v>9842867.850000001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222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>
        <v>2344007.18</v>
      </c>
      <c r="M31" s="7">
        <f>+L31-1017338</f>
        <v>1326669.1800000002</v>
      </c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374409</v>
      </c>
      <c r="K32" s="7">
        <v>24160</v>
      </c>
      <c r="L32" s="7">
        <v>935240.97</v>
      </c>
      <c r="M32" s="7">
        <f>+L32-771016</f>
        <v>164224.96999999997</v>
      </c>
    </row>
    <row r="33" spans="1:13" ht="12.75">
      <c r="A33" s="207" t="s">
        <v>213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24223602</v>
      </c>
      <c r="K33" s="53">
        <f>SUM(K34:K37)</f>
        <v>15756014</v>
      </c>
      <c r="L33" s="53">
        <f>SUM(L34:L37)</f>
        <v>15953689.09</v>
      </c>
      <c r="M33" s="53">
        <f>SUM(M34:M37)</f>
        <v>7531788.089999999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>
        <v>720100.52</v>
      </c>
      <c r="M34" s="7">
        <f>+L34-0</f>
        <v>720100.52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21404132</v>
      </c>
      <c r="K35" s="7">
        <v>13058241</v>
      </c>
      <c r="L35" s="7">
        <v>13507162.25</v>
      </c>
      <c r="M35" s="7">
        <f>+L35-7816751</f>
        <v>5690411.25</v>
      </c>
    </row>
    <row r="36" spans="1:13" ht="12.75">
      <c r="A36" s="207" t="s">
        <v>223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2477965</v>
      </c>
      <c r="K36" s="7">
        <v>2477965</v>
      </c>
      <c r="L36" s="7">
        <v>1398335.77</v>
      </c>
      <c r="M36" s="7">
        <f>+L36-439983</f>
        <v>958352.77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341505</v>
      </c>
      <c r="K37" s="7">
        <v>219808</v>
      </c>
      <c r="L37" s="7">
        <v>328090.55</v>
      </c>
      <c r="M37" s="7">
        <f>+L37-165167</f>
        <v>162923.55</v>
      </c>
    </row>
    <row r="38" spans="1:13" ht="12.75">
      <c r="A38" s="207" t="s">
        <v>194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224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225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4" ht="12.75">
      <c r="A42" s="207" t="s">
        <v>214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538261426</v>
      </c>
      <c r="K42" s="53">
        <f>K7+K27+K38+K40</f>
        <v>35202185</v>
      </c>
      <c r="L42" s="53">
        <f>L7+L27+L38+L40</f>
        <v>773868306.9100001</v>
      </c>
      <c r="M42" s="53">
        <f>M7+M27+M38+M40</f>
        <v>43750970.910000056</v>
      </c>
      <c r="N42" s="128"/>
    </row>
    <row r="43" spans="1:14" ht="12.75">
      <c r="A43" s="207" t="s">
        <v>215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539371102</v>
      </c>
      <c r="K43" s="53">
        <f>K10+K33+K39+K41</f>
        <v>153779525</v>
      </c>
      <c r="L43" s="53">
        <f>L10+L33+L39+L41</f>
        <v>718627554.0400001</v>
      </c>
      <c r="M43" s="53">
        <f>M10+M33+M39+M41</f>
        <v>181629054.04000002</v>
      </c>
      <c r="N43" s="128"/>
    </row>
    <row r="44" spans="1:14" ht="12.75">
      <c r="A44" s="207" t="s">
        <v>235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-1109676</v>
      </c>
      <c r="K44" s="53">
        <f>K42-K43</f>
        <v>-118577340</v>
      </c>
      <c r="L44" s="53">
        <f>L42-L43</f>
        <v>55240752.870000005</v>
      </c>
      <c r="M44" s="53">
        <f>M42-M43</f>
        <v>-137878083.12999997</v>
      </c>
      <c r="N44" s="128"/>
    </row>
    <row r="45" spans="1:13" ht="12.75">
      <c r="A45" s="215" t="s">
        <v>217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55240752.870000005</v>
      </c>
      <c r="M45" s="53">
        <f>IF(M42&gt;M43,M42-M43,0)</f>
        <v>0</v>
      </c>
    </row>
    <row r="46" spans="1:13" ht="12.75">
      <c r="A46" s="215" t="s">
        <v>218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1109676</v>
      </c>
      <c r="K46" s="53">
        <f>IF(K43&gt;K42,K43-K42,0)</f>
        <v>118577340</v>
      </c>
      <c r="L46" s="53">
        <f>IF(L43&gt;L42,L43-L42,0)</f>
        <v>0</v>
      </c>
      <c r="M46" s="53">
        <f>IF(M43&gt;M42,M43-M42,0)</f>
        <v>137878083.12999997</v>
      </c>
    </row>
    <row r="47" spans="1:13" ht="12.75">
      <c r="A47" s="207" t="s">
        <v>216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236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-1109676</v>
      </c>
      <c r="K48" s="53">
        <f>K44-K47</f>
        <v>-118577340</v>
      </c>
      <c r="L48" s="53">
        <f>L44-L47</f>
        <v>55240752.870000005</v>
      </c>
      <c r="M48" s="53">
        <f>M44-M47</f>
        <v>-137878083.12999997</v>
      </c>
    </row>
    <row r="49" spans="1:13" ht="12.75">
      <c r="A49" s="215" t="s">
        <v>191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55240752.870000005</v>
      </c>
      <c r="M49" s="53">
        <f>IF(M48&gt;0,M48,0)</f>
        <v>0</v>
      </c>
    </row>
    <row r="50" spans="1:13" ht="12.75">
      <c r="A50" s="247" t="s">
        <v>219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1109676</v>
      </c>
      <c r="K50" s="61">
        <f>IF(K48&lt;0,-K48,0)</f>
        <v>118577340</v>
      </c>
      <c r="L50" s="61">
        <f>IF(L48&lt;0,-L48,0)</f>
        <v>0</v>
      </c>
      <c r="M50" s="61">
        <f>IF(M48&lt;0,-M48,0)</f>
        <v>137878083.12999997</v>
      </c>
    </row>
    <row r="51" spans="1:13" ht="12.75" customHeight="1">
      <c r="A51" s="196" t="s">
        <v>311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186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233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234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203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+J48</f>
        <v>-1109676</v>
      </c>
      <c r="K56" s="6">
        <f>+K48</f>
        <v>-118577340</v>
      </c>
      <c r="L56" s="6">
        <f>+L48</f>
        <v>55240752.870000005</v>
      </c>
      <c r="M56" s="6">
        <f>+M48</f>
        <v>-137878083.12999997</v>
      </c>
    </row>
    <row r="57" spans="1:13" ht="12.75">
      <c r="A57" s="207" t="s">
        <v>220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227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228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229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230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231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232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221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-1109676</v>
      </c>
      <c r="K67" s="61">
        <f>K56+K66</f>
        <v>-118577340</v>
      </c>
      <c r="L67" s="61">
        <f>L56+L66</f>
        <v>55240752.870000005</v>
      </c>
      <c r="M67" s="61">
        <f>M56+M66</f>
        <v>-137878083.12999997</v>
      </c>
    </row>
    <row r="68" spans="1:13" ht="12.75" customHeight="1">
      <c r="A68" s="240" t="s">
        <v>312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233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234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37" sqref="K3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346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318</v>
      </c>
      <c r="K4" s="67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282</v>
      </c>
      <c r="K5" s="69" t="s">
        <v>283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-1109676</v>
      </c>
      <c r="K7" s="7">
        <v>55240753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113233958</v>
      </c>
      <c r="K8" s="7">
        <v>160486936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36440921</v>
      </c>
      <c r="K9" s="7">
        <v>2480232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148565203</v>
      </c>
      <c r="K13" s="53">
        <f>SUM(K7:K12)</f>
        <v>218207921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4309867</v>
      </c>
      <c r="K15" s="7">
        <v>5755434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700517</v>
      </c>
      <c r="K16" s="7">
        <v>519866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5760098</v>
      </c>
      <c r="K17" s="7">
        <v>7142230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10770482</v>
      </c>
      <c r="K18" s="53">
        <f>SUM(K14:K17)</f>
        <v>13417530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137794721</v>
      </c>
      <c r="K19" s="53">
        <f>IF(K13&gt;K18,K13-K18,0)</f>
        <v>204790391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462310801</v>
      </c>
      <c r="K28" s="7">
        <v>78864221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5364523</v>
      </c>
      <c r="K29" s="7">
        <v>505824</v>
      </c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467675324</v>
      </c>
      <c r="K31" s="53">
        <f>SUM(K28:K30)</f>
        <v>79370045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467675324</v>
      </c>
      <c r="K33" s="53">
        <f>IF(K31&gt;K27,K31-K27,0)</f>
        <v>79370045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334760000</v>
      </c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67399690</v>
      </c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117104753</v>
      </c>
      <c r="K37" s="7">
        <v>12658615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519264443</v>
      </c>
      <c r="K38" s="53">
        <f>SUM(K35:K37)</f>
        <v>12658615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82953237</v>
      </c>
      <c r="K39" s="7">
        <v>4360700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>
        <v>37793424</v>
      </c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>
        <v>63143661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82953237</v>
      </c>
      <c r="K44" s="53">
        <f>SUM(K39:K43)</f>
        <v>105297785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436311206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92639170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+J19+J32+J45</f>
        <v>574105927</v>
      </c>
      <c r="K47" s="53">
        <f>+K19+K32+K45</f>
        <v>204790391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+J20+J33+J46</f>
        <v>467675324</v>
      </c>
      <c r="K48" s="53">
        <f>+K20+K33+K46</f>
        <v>172009215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52167316</v>
      </c>
      <c r="K49" s="7">
        <v>158552597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f>+J47-J48</f>
        <v>106430603</v>
      </c>
      <c r="K50" s="7">
        <f>+K47-K48</f>
        <v>32781176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158597919</v>
      </c>
      <c r="K52" s="61">
        <f>K49+K50-K51</f>
        <v>191333773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Q11" sqref="Q10:Q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318</v>
      </c>
      <c r="K4" s="67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282</v>
      </c>
      <c r="K5" s="73" t="s">
        <v>283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198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197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M14" sqref="M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4" t="s">
        <v>280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281</v>
      </c>
      <c r="D2" s="269"/>
      <c r="E2" s="77" t="s">
        <v>347</v>
      </c>
      <c r="F2" s="43" t="s">
        <v>249</v>
      </c>
      <c r="G2" s="270" t="s">
        <v>324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304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282</v>
      </c>
      <c r="K4" s="83" t="s">
        <v>283</v>
      </c>
    </row>
    <row r="5" spans="1:11" ht="12.75">
      <c r="A5" s="274" t="s">
        <v>284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1065463400</v>
      </c>
      <c r="K5" s="45">
        <f>+Bilanca!K70</f>
        <v>1065463400</v>
      </c>
    </row>
    <row r="6" spans="1:11" ht="12.75">
      <c r="A6" s="274" t="s">
        <v>285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478814684</v>
      </c>
      <c r="K6" s="46">
        <f>+Bilanca!K71</f>
        <v>478235922.9</v>
      </c>
    </row>
    <row r="7" spans="1:11" ht="12.75">
      <c r="A7" s="274" t="s">
        <v>286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156620161</v>
      </c>
      <c r="K7" s="46">
        <f>+Bilanca!K72</f>
        <v>121712772.65</v>
      </c>
    </row>
    <row r="8" spans="1:11" ht="12.75">
      <c r="A8" s="274" t="s">
        <v>287</v>
      </c>
      <c r="B8" s="275"/>
      <c r="C8" s="275"/>
      <c r="D8" s="275"/>
      <c r="E8" s="275"/>
      <c r="F8" s="275"/>
      <c r="G8" s="275"/>
      <c r="H8" s="275"/>
      <c r="I8" s="44">
        <v>4</v>
      </c>
      <c r="J8" s="46"/>
      <c r="K8" s="46">
        <f>+Bilanca!K79</f>
        <v>0</v>
      </c>
    </row>
    <row r="9" spans="1:11" ht="12.75">
      <c r="A9" s="274" t="s">
        <v>288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1791863</v>
      </c>
      <c r="K9" s="46">
        <f>+Bilanca!K82</f>
        <v>55240752.87</v>
      </c>
    </row>
    <row r="10" spans="1:11" ht="12.75">
      <c r="A10" s="274" t="s">
        <v>289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290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291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>
        <v>1055498</v>
      </c>
      <c r="K12" s="46">
        <f>+Bilanca!K78</f>
        <v>262263.4</v>
      </c>
    </row>
    <row r="13" spans="1:11" ht="12.75">
      <c r="A13" s="274" t="s">
        <v>292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293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1703745606</v>
      </c>
      <c r="K14" s="79">
        <f>SUM(K5:K13)</f>
        <v>1720915111.8200002</v>
      </c>
    </row>
    <row r="15" spans="1:11" ht="12.75">
      <c r="A15" s="274" t="s">
        <v>294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295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296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297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298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299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300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301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302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asopta</cp:lastModifiedBy>
  <cp:lastPrinted>2013-02-01T14:35:32Z</cp:lastPrinted>
  <dcterms:created xsi:type="dcterms:W3CDTF">2008-10-17T11:51:54Z</dcterms:created>
  <dcterms:modified xsi:type="dcterms:W3CDTF">2013-02-04T09:10:07Z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