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<sst xmlns="http://schemas.openxmlformats.org/spreadsheetml/2006/main" count="403" uniqueCount="353">
  <si>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</si>
  <si>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</si>
  <si>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</si>
  <si>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</si>
  <si>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</si>
  <si>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</si>
  <si>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</si>
  <si>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</si>
  <si>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</si>
  <si>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</si>
  <si>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</si>
  <si>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</si>
  <si>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</si>
  <si>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</si>
  <si>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</si>
  <si>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</si>
  <si>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</si>
  <si>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</si>
  <si>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</si>
  <si>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</si>
  <si>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</si>
  <si>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</si>
  <si>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</si>
  <si>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</si>
  <si>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</si>
  <si>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</si>
  <si>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</si>
  <si>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</si>
  <si>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</si>
  <si>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</si>
  <si>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</si>
  <si>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</si>
  <si>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</si>
  <si>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</si>
  <si>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</si>
  <si>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</si>
  <si>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</si>
  <si>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</si>
  <si>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</si>
  <si>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</si>
  <si>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</si>
  <si>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</si>
  <si>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</si>
  <si>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</si>
  <si>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</si>
  <si>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</si>
  <si>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</si>
  <si>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</si>
  <si>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</si>
  <si>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</si>
  <si>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</si>
  <si>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</si>
  <si>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</si>
  <si>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</si>
  <si>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</si>
  <si>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</si>
  <si>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</si>
  <si>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</si>
  <si>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</si>
  <si>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</si>
  <si>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</si>
  <si>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</si>
  <si>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</si>
  <si>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</si>
  <si>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</si>
  <si>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</si>
  <si>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</si>
  <si>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</si>
  <si>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</si>
  <si>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</si>
  <si>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</si>
  <si>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</si>
  <si>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</si>
  <si>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</si>
  <si>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</si>
  <si>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</si>
  <si>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</si>
  <si>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</si>
  <si>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</si>
  <si>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</si>
  <si>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</si>
  <si>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</si>
  <si>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</si>
  <si>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</si>
  <si>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</si>
  <si>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</si>
  <si>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</si>
  <si>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</si>
  <si>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</si>
  <si>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</si>
  <si>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</si>
  <si>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</si>
  <si>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</si>
  <si>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</si>
  <si>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</si>
  <si>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</si>
  <si>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</si>
  <si>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</si>
  <si>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</si>
  <si>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</si>
  <si>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</si>
  <si>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</si>
  <si>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</si>
  <si>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</si>
  <si>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</si>
  <si>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</si>
  <si>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</si>
  <si>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</si>
  <si>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</si>
  <si>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</si>
  <si>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</si>
  <si>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</si>
  <si>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</si>
  <si>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</si>
  <si>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</si>
  <si>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</si>
  <si>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</si>
  <si>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</si>
  <si>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</si>
  <si>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</si>
  <si>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</si>
  <si>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</si>
  <si>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</si>
  <si>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</si>
  <si>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</si>
  <si>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</si>
  <si>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</si>
  <si>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</si>
  <si>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</si>
  <si>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</si>
  <si>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</si>
  <si>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</si>
  <si>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</si>
  <si>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</si>
  <si>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</si>
  <si>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</si>
  <si>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</si>
  <si>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</si>
  <si>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</si>
  <si>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</si>
  <si>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</si>
  <si>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</si>
  <si>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</si>
  <si>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</si>
  <si>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</si>
  <si>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</si>
  <si>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</si>
  <si>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</si>
  <si>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</si>
  <si>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</si>
  <si>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</si>
  <si>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</si>
  <si>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</si>
  <si>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</si>
  <si>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</si>
  <si>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</si>
  <si>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</si>
  <si>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</si>
  <si>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</si>
  <si>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</si>
  <si>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</si>
  <si>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</si>
  <si>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</si>
  <si>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</si>
  <si>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</si>
  <si>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</si>
  <si>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</si>
  <si>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</si>
  <si>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</si>
  <si>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</si>
  <si>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</si>
  <si>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</si>
  <si>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</si>
  <si>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</si>
  <si>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</si>
  <si>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</si>
  <si>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</si>
  <si>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</si>
  <si>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</si>
  <si>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</si>
  <si>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</si>
  <si>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</si>
  <si>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</si>
  <si>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</si>
  <si>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</si>
  <si>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</si>
  <si>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</si>
  <si>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</si>
  <si>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</si>
  <si>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</si>
  <si>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</si>
  <si>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</si>
  <si>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</si>
  <si>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</si>
  <si>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</si>
  <si>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</si>
  <si>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</si>
  <si>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</si>
  <si>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</si>
  <si>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</si>
  <si>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</si>
  <si>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</si>
  <si>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</si>
  <si>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</si>
  <si>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</si>
  <si>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</si>
  <si>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</si>
  <si>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</si>
  <si>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</si>
  <si>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</si>
  <si>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</si>
  <si>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</si>
  <si>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</si>
  <si>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</si>
  <si>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</si>
  <si>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</si>
  <si>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</si>
  <si>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</si>
  <si>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</si>
  <si>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</si>
  <si>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</si>
  <si>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</si>
  <si>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</si>
  <si>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</si>
  <si>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</si>
  <si>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</si>
  <si>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</si>
  <si>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</si>
  <si>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</si>
  <si>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</si>
  <si>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</si>
  <si>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</si>
  <si>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</si>
  <si>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</si>
  <si>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</si>
  <si>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</si>
  <si>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</si>
  <si>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</si>
  <si>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</si>
  <si>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</si>
  <si>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</si>
  <si>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</si>
  <si>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</si>
  <si>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</si>
  <si>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</si>
  <si>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</si>
  <si>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</si>
  <si>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</si>
  <si>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</si>
  <si>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</si>
  <si>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</si>
  <si>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</si>
  <si>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</si>
  <si>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</si>
  <si>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</si>
  <si>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</si>
  <si>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</si>
  <si>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</si>
  <si>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</si>
  <si>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</si>
  <si>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</si>
  <si>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</si>
  <si>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</si>
  <si>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</si>
  <si>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</si>
  <si>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</si>
  <si>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</si>
  <si>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</si>
  <si>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</si>
  <si>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</si>
  <si>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</si>
  <si>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</si>
  <si>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</si>
  <si>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</si>
  <si>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</si>
  <si>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</si>
  <si>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</si>
  <si>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</si>
  <si>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</si>
  <si>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</si>
  <si>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</si>
  <si>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</si>
  <si>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</si>
  <si>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</si>
  <si>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</si>
  <si>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</si>
  <si>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</si>
  <si>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</si>
  <si>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</si>
  <si>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</si>
  <si>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</si>
  <si>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</si>
  <si>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</si>
  <si>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</si>
  <si>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</si>
  <si>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</si>
  <si>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</si>
  <si>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</si>
  <si>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</si>
  <si>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</si>
  <si>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</si>
  <si>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</si>
  <si>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</si>
  <si>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</si>
  <si>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</si>
  <si>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</si>
  <si>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</si>
  <si>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</si>
  <si>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</si>
  <si>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</si>
  <si>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</si>
  <si>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</si>
  <si>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</si>
  <si>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</si>
  <si>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</si>
  <si>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</si>
  <si>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</si>
  <si>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</si>
  <si>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</si>
  <si>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</si>
  <si>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</si>
  <si>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</si>
  <si>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</si>
  <si>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</si>
  <si>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</si>
  <si>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</si>
  <si>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</si>
  <si>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</si>
  <si>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</si>
  <si>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</si>
  <si>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</si>
  <si>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</si>
  <si>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DA</t>
  </si>
  <si>
    <t>5510</t>
  </si>
  <si>
    <t>Dubrovnik Babin Kuk d.d.</t>
  </si>
  <si>
    <t>Dubrovnik</t>
  </si>
  <si>
    <t>3303989</t>
  </si>
  <si>
    <t>Sopta Anka</t>
  </si>
  <si>
    <t>052 408 188</t>
  </si>
  <si>
    <t>052 408 110</t>
  </si>
  <si>
    <t>anka.sopta@riviera.hr</t>
  </si>
  <si>
    <t>Černjul Edi, Čižmek Marko</t>
  </si>
  <si>
    <t>stanje na dan  31.12.2012.</t>
  </si>
  <si>
    <t>Obveznik: _____Riviera Adria d.d.________________________________________________________</t>
  </si>
  <si>
    <t>01.01.2012.</t>
  </si>
  <si>
    <t>31.12.2012.</t>
  </si>
  <si>
    <t>u razdoblju 01.01.2012.  do  31.12.2012.</t>
  </si>
  <si>
    <t>Obveznik: ____Riviera Adria d.d._________________________________________________________</t>
  </si>
  <si>
    <t>u razdoblju   01.01.2012.    do  31.12.2012.</t>
  </si>
  <si>
    <t>Obveznik: _______Riviera Adria d.d.______________________________________________________</t>
  </si>
  <si>
    <t>,</t>
  </si>
  <si>
    <t>01.01.12.</t>
  </si>
  <si>
    <t>31.12.12.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</si>
</sst>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/m/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9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G8" sqref="G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247</v>
      </c>
      <c r="B1" s="180"/>
      <c r="C1" s="18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6" t="s">
        <v>248</v>
      </c>
      <c r="B2" s="137"/>
      <c r="C2" s="137"/>
      <c r="D2" s="138"/>
      <c r="E2" s="130" t="s">
        <v>351</v>
      </c>
      <c r="F2" s="12"/>
      <c r="G2" s="13" t="s">
        <v>249</v>
      </c>
      <c r="H2" s="120" t="s">
        <v>352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9" t="s">
        <v>316</v>
      </c>
      <c r="B4" s="140"/>
      <c r="C4" s="140"/>
      <c r="D4" s="140"/>
      <c r="E4" s="140"/>
      <c r="F4" s="140"/>
      <c r="G4" s="140"/>
      <c r="H4" s="140"/>
      <c r="I4" s="14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2" t="s">
        <v>250</v>
      </c>
      <c r="B6" s="143"/>
      <c r="C6" s="134" t="s">
        <v>323</v>
      </c>
      <c r="D6" s="13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4" t="s">
        <v>251</v>
      </c>
      <c r="B8" s="145"/>
      <c r="C8" s="134" t="s">
        <v>324</v>
      </c>
      <c r="D8" s="13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252</v>
      </c>
      <c r="B10" s="132"/>
      <c r="C10" s="134" t="s">
        <v>325</v>
      </c>
      <c r="D10" s="13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3"/>
      <c r="B11" s="13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2" t="s">
        <v>253</v>
      </c>
      <c r="B12" s="143"/>
      <c r="C12" s="146" t="s">
        <v>326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2" t="s">
        <v>254</v>
      </c>
      <c r="B14" s="143"/>
      <c r="C14" s="149">
        <v>52440</v>
      </c>
      <c r="D14" s="150"/>
      <c r="E14" s="16"/>
      <c r="F14" s="146" t="s">
        <v>327</v>
      </c>
      <c r="G14" s="147"/>
      <c r="H14" s="147"/>
      <c r="I14" s="14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2" t="s">
        <v>255</v>
      </c>
      <c r="B16" s="143"/>
      <c r="C16" s="146" t="s">
        <v>328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2" t="s">
        <v>256</v>
      </c>
      <c r="B18" s="143"/>
      <c r="C18" s="151" t="s">
        <v>329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2" t="s">
        <v>257</v>
      </c>
      <c r="B20" s="143"/>
      <c r="C20" s="151" t="s">
        <v>330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2" t="s">
        <v>258</v>
      </c>
      <c r="B22" s="143"/>
      <c r="C22" s="121">
        <v>348</v>
      </c>
      <c r="D22" s="146" t="s">
        <v>327</v>
      </c>
      <c r="E22" s="154"/>
      <c r="F22" s="155"/>
      <c r="G22" s="142"/>
      <c r="H22" s="15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2" t="s">
        <v>259</v>
      </c>
      <c r="B24" s="143"/>
      <c r="C24" s="121">
        <v>18</v>
      </c>
      <c r="D24" s="146" t="s">
        <v>331</v>
      </c>
      <c r="E24" s="154"/>
      <c r="F24" s="154"/>
      <c r="G24" s="155"/>
      <c r="H24" s="51" t="s">
        <v>260</v>
      </c>
      <c r="I24" s="122">
        <v>1262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42" t="s">
        <v>261</v>
      </c>
      <c r="B26" s="143"/>
      <c r="C26" s="123" t="s">
        <v>332</v>
      </c>
      <c r="D26" s="25"/>
      <c r="E26" s="33"/>
      <c r="F26" s="24"/>
      <c r="G26" s="157" t="s">
        <v>262</v>
      </c>
      <c r="H26" s="143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8" t="s">
        <v>263</v>
      </c>
      <c r="B28" s="159"/>
      <c r="C28" s="160"/>
      <c r="D28" s="160"/>
      <c r="E28" s="161" t="s">
        <v>264</v>
      </c>
      <c r="F28" s="162"/>
      <c r="G28" s="162"/>
      <c r="H28" s="163" t="s">
        <v>265</v>
      </c>
      <c r="I28" s="16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5" t="s">
        <v>334</v>
      </c>
      <c r="B30" s="166"/>
      <c r="C30" s="166"/>
      <c r="D30" s="167"/>
      <c r="E30" s="165" t="s">
        <v>335</v>
      </c>
      <c r="F30" s="166"/>
      <c r="G30" s="166"/>
      <c r="H30" s="134" t="s">
        <v>336</v>
      </c>
      <c r="I30" s="135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34"/>
      <c r="I32" s="13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34"/>
      <c r="I34" s="13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34"/>
      <c r="I36" s="135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34"/>
      <c r="I38" s="13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34"/>
      <c r="I40" s="13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266</v>
      </c>
      <c r="B44" s="175"/>
      <c r="C44" s="134"/>
      <c r="D44" s="135"/>
      <c r="E44" s="26"/>
      <c r="F44" s="146"/>
      <c r="G44" s="166"/>
      <c r="H44" s="166"/>
      <c r="I44" s="167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2"/>
      <c r="H45" s="35"/>
      <c r="I45" s="107"/>
      <c r="J45" s="10"/>
      <c r="K45" s="10"/>
      <c r="L45" s="10"/>
    </row>
    <row r="46" spans="1:12" ht="12.75">
      <c r="A46" s="131" t="s">
        <v>267</v>
      </c>
      <c r="B46" s="175"/>
      <c r="C46" s="146" t="s">
        <v>337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269</v>
      </c>
      <c r="B48" s="175"/>
      <c r="C48" s="176" t="s">
        <v>338</v>
      </c>
      <c r="D48" s="177"/>
      <c r="E48" s="178"/>
      <c r="F48" s="16"/>
      <c r="G48" s="51" t="s">
        <v>270</v>
      </c>
      <c r="H48" s="176" t="s">
        <v>339</v>
      </c>
      <c r="I48" s="17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256</v>
      </c>
      <c r="B50" s="175"/>
      <c r="C50" s="187" t="s">
        <v>340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2" t="s">
        <v>271</v>
      </c>
      <c r="B52" s="143"/>
      <c r="C52" s="176" t="s">
        <v>341</v>
      </c>
      <c r="D52" s="177"/>
      <c r="E52" s="177"/>
      <c r="F52" s="177"/>
      <c r="G52" s="177"/>
      <c r="H52" s="177"/>
      <c r="I52" s="148"/>
      <c r="J52" s="10"/>
      <c r="K52" s="10"/>
      <c r="L52" s="10"/>
    </row>
    <row r="53" spans="1:12" ht="12.75">
      <c r="A53" s="108"/>
      <c r="B53" s="20"/>
      <c r="C53" s="181" t="s">
        <v>272</v>
      </c>
      <c r="D53" s="181"/>
      <c r="E53" s="181"/>
      <c r="F53" s="181"/>
      <c r="G53" s="181"/>
      <c r="H53" s="18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8" t="s">
        <v>273</v>
      </c>
      <c r="C55" s="189"/>
      <c r="D55" s="189"/>
      <c r="E55" s="18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0" t="s">
        <v>305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8"/>
      <c r="B57" s="190" t="s">
        <v>306</v>
      </c>
      <c r="C57" s="191"/>
      <c r="D57" s="191"/>
      <c r="E57" s="191"/>
      <c r="F57" s="191"/>
      <c r="G57" s="191"/>
      <c r="H57" s="191"/>
      <c r="I57" s="110"/>
      <c r="J57" s="10"/>
      <c r="K57" s="10"/>
      <c r="L57" s="10"/>
    </row>
    <row r="58" spans="1:12" ht="12.75">
      <c r="A58" s="108"/>
      <c r="B58" s="190" t="s">
        <v>307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8"/>
      <c r="B59" s="190" t="s">
        <v>308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82" t="s">
        <v>276</v>
      </c>
      <c r="H62" s="183"/>
      <c r="I62" s="18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5"/>
      <c r="H63" s="18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110" zoomScaleSheetLayoutView="110" zoomScalePageLayoutView="0" workbookViewId="0" topLeftCell="A43">
      <selection activeCell="J92" sqref="J92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9.140625" style="52" customWidth="1"/>
    <col min="13" max="13" width="11.28125" style="52" bestFit="1" customWidth="1"/>
    <col min="14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343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8" t="s">
        <v>277</v>
      </c>
      <c r="J4" s="59" t="s">
        <v>318</v>
      </c>
      <c r="K4" s="60" t="s">
        <v>319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2532885904</v>
      </c>
      <c r="K8" s="53">
        <f>K9+K16+K26+K35+K39</f>
        <v>2403695949.26</v>
      </c>
    </row>
    <row r="9" spans="1:11" ht="12.75">
      <c r="A9" s="206" t="s">
        <v>204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1954579</v>
      </c>
      <c r="K9" s="53">
        <f>SUM(K10:K15)</f>
        <v>2342584.36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1954579</v>
      </c>
      <c r="K11" s="7">
        <v>2342584.36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207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208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209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205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2523502992</v>
      </c>
      <c r="K16" s="53">
        <f>SUM(K17:K25)</f>
        <v>2394986705.01</v>
      </c>
    </row>
    <row r="17" spans="1:11" ht="12.75">
      <c r="A17" s="206" t="s">
        <v>210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563713622</v>
      </c>
      <c r="K17" s="7">
        <v>563652049.12</v>
      </c>
    </row>
    <row r="18" spans="1:11" ht="12.75">
      <c r="A18" s="206" t="s">
        <v>246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1726847538</v>
      </c>
      <c r="K18" s="7">
        <v>1567247532.78</v>
      </c>
    </row>
    <row r="19" spans="1:11" ht="12.75">
      <c r="A19" s="206" t="s">
        <v>211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139769353</v>
      </c>
      <c r="K19" s="7">
        <v>146852911.6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34497852</v>
      </c>
      <c r="K20" s="7">
        <v>38123359.53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16997653</v>
      </c>
      <c r="K22" s="7">
        <v>30398907.15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27347759</v>
      </c>
      <c r="K23" s="7">
        <v>31171067.75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14329215</v>
      </c>
      <c r="K24" s="7">
        <v>17540877.08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189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4584419</v>
      </c>
      <c r="K26" s="53">
        <f>SUM(K27:K34)</f>
        <v>3802417.52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1108356</v>
      </c>
      <c r="K27" s="7">
        <v>1693244.07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160000</v>
      </c>
      <c r="K29" s="7">
        <v>160000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2992989</v>
      </c>
      <c r="K31" s="7">
        <v>1949173.45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323074</v>
      </c>
      <c r="K33" s="7"/>
    </row>
    <row r="34" spans="1:11" ht="12.75">
      <c r="A34" s="206" t="s">
        <v>322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183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1126445</v>
      </c>
      <c r="K35" s="53">
        <f>SUM(K36:K38)</f>
        <v>846773.65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509738</v>
      </c>
      <c r="K37" s="7">
        <v>461607.59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616707</v>
      </c>
      <c r="K38" s="7">
        <v>385166.06</v>
      </c>
    </row>
    <row r="39" spans="1:11" ht="12.75">
      <c r="A39" s="206" t="s">
        <v>184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1717469</v>
      </c>
      <c r="K39" s="7">
        <v>1717468.72</v>
      </c>
    </row>
    <row r="40" spans="1:11" ht="12.75">
      <c r="A40" s="209" t="s">
        <v>239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198025970</v>
      </c>
      <c r="K40" s="53">
        <f>K41+K49+K56+K64</f>
        <v>229787445.76999998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7180511</v>
      </c>
      <c r="K41" s="53">
        <f>SUM(K42:K48)</f>
        <v>7817472.8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5671493</v>
      </c>
      <c r="K42" s="7">
        <v>6076560.05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740909</v>
      </c>
      <c r="K44" s="7">
        <v>740909.04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212147</v>
      </c>
      <c r="K45" s="7">
        <v>315810.74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555962</v>
      </c>
      <c r="K46" s="7">
        <v>684192.97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25966668</v>
      </c>
      <c r="K49" s="53">
        <f>SUM(K50:K55)</f>
        <v>25330490.31</v>
      </c>
    </row>
    <row r="50" spans="1:11" ht="12.75">
      <c r="A50" s="206" t="s">
        <v>199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231884</v>
      </c>
      <c r="K50" s="7"/>
    </row>
    <row r="51" spans="1:11" ht="12.75">
      <c r="A51" s="206" t="s">
        <v>200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13365777</v>
      </c>
      <c r="K51" s="7">
        <v>9225720.01</v>
      </c>
    </row>
    <row r="52" spans="1:11" ht="12.75">
      <c r="A52" s="206" t="s">
        <v>201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202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238938</v>
      </c>
      <c r="K53" s="7">
        <v>370800.52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9629569</v>
      </c>
      <c r="K54" s="7">
        <v>13264101.42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2500500</v>
      </c>
      <c r="K55" s="7">
        <v>2469868.36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2496569</v>
      </c>
      <c r="K56" s="53">
        <f>SUM(K57:K63)</f>
        <v>1432638.69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241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996274</v>
      </c>
      <c r="K61" s="7">
        <v>1083853.44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147491</v>
      </c>
      <c r="K62" s="7">
        <v>100268.2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1352804</v>
      </c>
      <c r="K63" s="7">
        <v>248517.05</v>
      </c>
    </row>
    <row r="64" spans="1:11" ht="12.75">
      <c r="A64" s="206" t="s">
        <v>206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162382222</v>
      </c>
      <c r="K64" s="7">
        <v>195206843.97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16683905</v>
      </c>
      <c r="K65" s="7">
        <v>23478563.01</v>
      </c>
    </row>
    <row r="66" spans="1:11" ht="12.75">
      <c r="A66" s="209" t="s">
        <v>240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2747595779</v>
      </c>
      <c r="K66" s="53">
        <f>K7+K8+K40+K65</f>
        <v>2656961958.0400004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99165729</v>
      </c>
      <c r="K67" s="8">
        <v>54977227.62</v>
      </c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190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1684215380</v>
      </c>
      <c r="K69" s="54">
        <f>K70+K71+K72+K78+K79+K82+K85</f>
        <v>1694840876.8100002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1065463400</v>
      </c>
      <c r="K70" s="7">
        <v>1065463400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478814684</v>
      </c>
      <c r="K71" s="7">
        <v>478235922.9</v>
      </c>
    </row>
    <row r="72" spans="1:13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156420895</v>
      </c>
      <c r="K72" s="53">
        <f>K73+K74-K75+K76+K77</f>
        <v>121513506.33000001</v>
      </c>
      <c r="M72" s="128"/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57792194</v>
      </c>
      <c r="K73" s="7">
        <v>57792193.88</v>
      </c>
    </row>
    <row r="74" spans="1:13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9425816</v>
      </c>
      <c r="K74" s="7">
        <v>52225815.58</v>
      </c>
      <c r="M74" s="128"/>
    </row>
    <row r="75" spans="1:13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8920547</v>
      </c>
      <c r="K75" s="7">
        <v>45619798.24</v>
      </c>
      <c r="M75" s="128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3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98123432</v>
      </c>
      <c r="K77" s="7">
        <v>57115295.11</v>
      </c>
      <c r="M77" s="128"/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1055498</v>
      </c>
      <c r="K78" s="7">
        <v>262263.4</v>
      </c>
    </row>
    <row r="79" spans="1:11" ht="12.75">
      <c r="A79" s="206" t="s">
        <v>237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-7030800</v>
      </c>
      <c r="K79" s="53">
        <f>K80-K81</f>
        <v>-36834434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7030800</v>
      </c>
      <c r="K81" s="7">
        <v>36834434</v>
      </c>
    </row>
    <row r="82" spans="1:13" ht="12.75">
      <c r="A82" s="206" t="s">
        <v>238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-28428818</v>
      </c>
      <c r="K82" s="53">
        <f>K83-K84</f>
        <v>49198638.26</v>
      </c>
      <c r="M82" s="128"/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>
        <v>49198638.26</v>
      </c>
    </row>
    <row r="84" spans="1:13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28428818</v>
      </c>
      <c r="K84" s="7"/>
      <c r="M84" s="128"/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17920521</v>
      </c>
      <c r="K85" s="7">
        <v>17001579.92</v>
      </c>
    </row>
    <row r="86" spans="1:13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25614492</v>
      </c>
      <c r="K86" s="53">
        <f>SUM(K87:K89)</f>
        <v>26744892.38</v>
      </c>
      <c r="M86" s="128"/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25614492</v>
      </c>
      <c r="K89" s="7">
        <v>26744892.38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803921894</v>
      </c>
      <c r="K90" s="53">
        <f>SUM(K91:K99)</f>
        <v>691533737.98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242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57044318</v>
      </c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739583943</v>
      </c>
      <c r="K93" s="7">
        <v>686356670.75</v>
      </c>
    </row>
    <row r="94" spans="1:11" ht="12.75">
      <c r="A94" s="206" t="s">
        <v>243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244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245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7029758</v>
      </c>
      <c r="K98" s="7">
        <v>5111500.63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263875</v>
      </c>
      <c r="K99" s="7">
        <v>65566.6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201801005</v>
      </c>
      <c r="K100" s="53">
        <f>SUM(K101:K112)</f>
        <v>207067405.51000002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242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622544</v>
      </c>
      <c r="K102" s="7">
        <v>3983.5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130563884</v>
      </c>
      <c r="K103" s="7">
        <v>141153553.49</v>
      </c>
    </row>
    <row r="104" spans="1:11" ht="12.75">
      <c r="A104" s="206" t="s">
        <v>243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7041458</v>
      </c>
      <c r="K104" s="7">
        <v>7946475.47</v>
      </c>
    </row>
    <row r="105" spans="1:11" ht="12.75">
      <c r="A105" s="206" t="s">
        <v>244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42541779</v>
      </c>
      <c r="K105" s="7">
        <v>36690215.96</v>
      </c>
    </row>
    <row r="106" spans="1:11" ht="12.75">
      <c r="A106" s="206" t="s">
        <v>245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11300650</v>
      </c>
      <c r="K108" s="7">
        <v>11718474.45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5344455</v>
      </c>
      <c r="K109" s="7">
        <v>5301235.83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4386235</v>
      </c>
      <c r="K112" s="7">
        <v>4253466.81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32043008</v>
      </c>
      <c r="K113" s="7">
        <v>36775044.98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2747595779</v>
      </c>
      <c r="K114" s="53">
        <f>K69+K86+K90+K100+K113</f>
        <v>2656961957.6600003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99165729</v>
      </c>
      <c r="K115" s="8">
        <v>54977227.62</v>
      </c>
    </row>
    <row r="116" spans="1:11" ht="12.75">
      <c r="A116" s="198" t="s">
        <v>309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185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1666294859</v>
      </c>
      <c r="K118" s="7">
        <f>+K69-K119</f>
        <v>1677839296.89</v>
      </c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>
        <v>17920521</v>
      </c>
      <c r="K119" s="8">
        <f>+K85</f>
        <v>17001579.92</v>
      </c>
    </row>
    <row r="120" spans="1:11" ht="12.75">
      <c r="A120" s="215" t="s">
        <v>310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1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37">
      <selection activeCell="J70" sqref="J70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2" width="11.140625" style="52" bestFit="1" customWidth="1"/>
    <col min="13" max="13" width="10.28125" style="52" customWidth="1"/>
    <col min="14" max="14" width="12.00390625" style="52" bestFit="1" customWidth="1"/>
    <col min="15" max="15" width="11.28125" style="52" bestFit="1" customWidth="1"/>
    <col min="16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347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278</v>
      </c>
      <c r="J4" s="254" t="s">
        <v>318</v>
      </c>
      <c r="K4" s="254"/>
      <c r="L4" s="254" t="s">
        <v>319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737880439</v>
      </c>
      <c r="K7" s="54">
        <f>SUM(K8:K9)</f>
        <v>51954253</v>
      </c>
      <c r="L7" s="54">
        <f>SUM(L8:L9)</f>
        <v>985307633.1999999</v>
      </c>
      <c r="M7" s="54">
        <f>SUM(M8:M9)</f>
        <v>54750607.199999966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725010471</v>
      </c>
      <c r="K8" s="7">
        <v>46280722</v>
      </c>
      <c r="L8" s="7">
        <v>976431453.16</v>
      </c>
      <c r="M8" s="7">
        <f>+L8-923345233</f>
        <v>53086220.15999997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12869968</v>
      </c>
      <c r="K9" s="7">
        <v>5673531</v>
      </c>
      <c r="L9" s="7">
        <f>244136.71+8632043.33</f>
        <v>8876180.040000001</v>
      </c>
      <c r="M9" s="7">
        <f>+L9-7211793</f>
        <v>1664387.040000001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718571224</v>
      </c>
      <c r="K10" s="53">
        <f>K11+K12+K16+K20+K21+K22+K25+K26</f>
        <v>188296415</v>
      </c>
      <c r="L10" s="53">
        <f>L11+L12+L16+L20+L21+L22+L25+L26</f>
        <v>925430294.4599998</v>
      </c>
      <c r="M10" s="53">
        <f>M11+M12+M16+M20+M21+M22+M25+M26</f>
        <v>233448809.46000004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239393397</v>
      </c>
      <c r="K12" s="53">
        <f>SUM(K13:K15)</f>
        <v>42191630</v>
      </c>
      <c r="L12" s="53">
        <f>SUM(L13:L15)</f>
        <v>307577106.53999996</v>
      </c>
      <c r="M12" s="53">
        <f>SUM(M13:M15)</f>
        <v>44172460.54000001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136676708</v>
      </c>
      <c r="K13" s="7">
        <v>17266566</v>
      </c>
      <c r="L13" s="7">
        <v>171202290.93</v>
      </c>
      <c r="M13" s="7">
        <f>+L13-153358740</f>
        <v>17843550.930000007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1888669</v>
      </c>
      <c r="K14" s="7">
        <v>183624</v>
      </c>
      <c r="L14" s="7">
        <v>1087637.64</v>
      </c>
      <c r="M14" s="7">
        <f>+L14-951469</f>
        <v>136168.6399999999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100828020</v>
      </c>
      <c r="K15" s="7">
        <v>24741440</v>
      </c>
      <c r="L15" s="7">
        <v>135287177.97</v>
      </c>
      <c r="M15" s="7">
        <f>+L15-109094437</f>
        <v>26192740.97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193935598</v>
      </c>
      <c r="K16" s="53">
        <f>SUM(K17:K19)</f>
        <v>54920040</v>
      </c>
      <c r="L16" s="53">
        <f>SUM(L17:L19)</f>
        <v>233240974.16</v>
      </c>
      <c r="M16" s="53">
        <f>SUM(M17:M19)</f>
        <v>59528777.16000001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116661605</v>
      </c>
      <c r="K17" s="7">
        <v>33116033</v>
      </c>
      <c r="L17" s="7">
        <v>142540567.74</v>
      </c>
      <c r="M17" s="7">
        <f>+L17-105719991</f>
        <v>36820576.74000001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49084995</v>
      </c>
      <c r="K18" s="7">
        <v>13905171</v>
      </c>
      <c r="L18" s="7">
        <v>59830061.41</v>
      </c>
      <c r="M18" s="7">
        <f>+L18-44670547</f>
        <v>15159514.409999996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28188998</v>
      </c>
      <c r="K19" s="7">
        <v>7898836</v>
      </c>
      <c r="L19" s="7">
        <v>30870345.01</v>
      </c>
      <c r="M19" s="7">
        <f>+L19-23321659</f>
        <v>7548686.010000002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164925177</v>
      </c>
      <c r="K20" s="7">
        <v>48764065</v>
      </c>
      <c r="L20" s="7">
        <v>216559350.93</v>
      </c>
      <c r="M20" s="7">
        <f>+L20-139452339</f>
        <v>77107011.93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113955465</v>
      </c>
      <c r="K21" s="7">
        <v>38172123</v>
      </c>
      <c r="L21" s="7">
        <v>152847615.91</v>
      </c>
      <c r="M21" s="7">
        <f>+L21-112334592</f>
        <v>40513023.91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347530</v>
      </c>
      <c r="K22" s="53">
        <f>SUM(K23:K24)</f>
        <v>347530</v>
      </c>
      <c r="L22" s="53">
        <f>SUM(L23:L24)</f>
        <v>426423.23</v>
      </c>
      <c r="M22" s="53">
        <f>SUM(M23:M24)</f>
        <v>309139.23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347530</v>
      </c>
      <c r="K24" s="7">
        <v>347530</v>
      </c>
      <c r="L24" s="7">
        <v>426423.23</v>
      </c>
      <c r="M24" s="7">
        <f>+L24-117284</f>
        <v>309139.23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1691444</v>
      </c>
      <c r="K25" s="7">
        <v>1691444</v>
      </c>
      <c r="L25" s="7">
        <v>2141969.3</v>
      </c>
      <c r="M25" s="7">
        <f>+L25-440400</f>
        <v>1701569.2999999998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4322613</v>
      </c>
      <c r="K26" s="7">
        <v>2209583</v>
      </c>
      <c r="L26" s="7">
        <v>12636854.39</v>
      </c>
      <c r="M26" s="7">
        <f>+L26-2520027</f>
        <v>10116827.39</v>
      </c>
    </row>
    <row r="27" spans="1:13" ht="12.75">
      <c r="A27" s="209" t="s">
        <v>212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9572399</v>
      </c>
      <c r="K27" s="53">
        <f>SUM(K28:K32)</f>
        <v>6108872</v>
      </c>
      <c r="L27" s="53">
        <f>SUM(L28:L32)</f>
        <v>27310108.87</v>
      </c>
      <c r="M27" s="53">
        <f>SUM(M28:M32)</f>
        <v>13133306.870000001</v>
      </c>
    </row>
    <row r="28" spans="1:13" ht="12.75">
      <c r="A28" s="209" t="s">
        <v>226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9177525</v>
      </c>
      <c r="K29" s="7">
        <v>6084712</v>
      </c>
      <c r="L29" s="7">
        <v>21307200.55</v>
      </c>
      <c r="M29" s="7">
        <f>+L29-10768723</f>
        <v>10538477.55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222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>
        <v>4859597.34</v>
      </c>
      <c r="M31" s="7">
        <f>+L31-2453965</f>
        <v>2405632.34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394874</v>
      </c>
      <c r="K32" s="7">
        <v>24160</v>
      </c>
      <c r="L32" s="7">
        <v>1143310.98</v>
      </c>
      <c r="M32" s="7">
        <f>+L32-954114</f>
        <v>189196.97999999998</v>
      </c>
    </row>
    <row r="33" spans="1:13" ht="12.75">
      <c r="A33" s="209" t="s">
        <v>213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61630785</v>
      </c>
      <c r="K33" s="53">
        <f>SUM(K34:K37)</f>
        <v>40461551</v>
      </c>
      <c r="L33" s="53">
        <f>SUM(L34:L37)</f>
        <v>38366622.699999996</v>
      </c>
      <c r="M33" s="53">
        <f>SUM(M34:M37)</f>
        <v>16057876.7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>
        <v>720100.52</v>
      </c>
      <c r="M34" s="7">
        <f>+L34-0</f>
        <v>720100.52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51875245</v>
      </c>
      <c r="K35" s="7">
        <v>30827709</v>
      </c>
      <c r="L35" s="7">
        <v>33078840.31</v>
      </c>
      <c r="M35" s="7">
        <f>+L35-21423314</f>
        <v>11655526.309999999</v>
      </c>
    </row>
    <row r="36" spans="1:13" ht="12.75">
      <c r="A36" s="209" t="s">
        <v>223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8594517</v>
      </c>
      <c r="K36" s="7">
        <v>8594517</v>
      </c>
      <c r="L36" s="7">
        <v>3637645.82</v>
      </c>
      <c r="M36" s="7">
        <f>+L36-640265</f>
        <v>2997380.82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1161023</v>
      </c>
      <c r="K37" s="7">
        <v>1039325</v>
      </c>
      <c r="L37" s="7">
        <v>930036.05</v>
      </c>
      <c r="M37" s="7">
        <f>+L37-245167</f>
        <v>684869.05</v>
      </c>
    </row>
    <row r="38" spans="1:13" ht="12.75">
      <c r="A38" s="209" t="s">
        <v>194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195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224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225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5" ht="12.75">
      <c r="A42" s="209" t="s">
        <v>214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747452838</v>
      </c>
      <c r="K42" s="53">
        <f>K7+K27+K38+K40</f>
        <v>58063125</v>
      </c>
      <c r="L42" s="53">
        <f>L7+L27+L38+L40</f>
        <v>1012617742.0699999</v>
      </c>
      <c r="M42" s="53">
        <f>M7+M27+M38+M40</f>
        <v>67883914.06999996</v>
      </c>
      <c r="O42" s="128"/>
    </row>
    <row r="43" spans="1:15" ht="12.75">
      <c r="A43" s="209" t="s">
        <v>215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780202009</v>
      </c>
      <c r="K43" s="53">
        <f>K10+K33+K39+K41</f>
        <v>228757966</v>
      </c>
      <c r="L43" s="53">
        <f>L10+L33+L39+L41</f>
        <v>963796917.1599998</v>
      </c>
      <c r="M43" s="53">
        <f>M10+M33+M39+M41</f>
        <v>249506686.16000003</v>
      </c>
      <c r="O43" s="128"/>
    </row>
    <row r="44" spans="1:14" ht="12.75">
      <c r="A44" s="209" t="s">
        <v>235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-32749171</v>
      </c>
      <c r="K44" s="53">
        <f>K42-K43</f>
        <v>-170694841</v>
      </c>
      <c r="L44" s="53">
        <f>L42-L43</f>
        <v>48820824.910000086</v>
      </c>
      <c r="M44" s="53">
        <f>M42-M43</f>
        <v>-181622772.09000006</v>
      </c>
      <c r="N44" s="128"/>
    </row>
    <row r="45" spans="1:14" ht="12.75">
      <c r="A45" s="217" t="s">
        <v>217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48820824.910000086</v>
      </c>
      <c r="M45" s="53">
        <f>IF(M42&gt;M43,M42-M43,0)</f>
        <v>0</v>
      </c>
      <c r="N45" s="128"/>
    </row>
    <row r="46" spans="1:13" ht="12.75">
      <c r="A46" s="217" t="s">
        <v>218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32749171</v>
      </c>
      <c r="K46" s="53">
        <f>IF(K43&gt;K42,K43-K42,0)</f>
        <v>170694841</v>
      </c>
      <c r="L46" s="53">
        <f>IF(L43&gt;L42,L43-L42,0)</f>
        <v>0</v>
      </c>
      <c r="M46" s="53">
        <f>IF(M43&gt;M42,M43-M42,0)</f>
        <v>181622772.09000006</v>
      </c>
    </row>
    <row r="47" spans="1:13" ht="12.75">
      <c r="A47" s="209" t="s">
        <v>216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236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-32749171</v>
      </c>
      <c r="K48" s="53">
        <f>K44-K47</f>
        <v>-170694841</v>
      </c>
      <c r="L48" s="53">
        <f>L44-L47</f>
        <v>48820824.910000086</v>
      </c>
      <c r="M48" s="53">
        <f>M44-M47</f>
        <v>-181622772.09000006</v>
      </c>
    </row>
    <row r="49" spans="1:13" ht="12.75">
      <c r="A49" s="217" t="s">
        <v>191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48820824.910000086</v>
      </c>
      <c r="M49" s="53">
        <f>IF(M48&gt;0,M48,0)</f>
        <v>0</v>
      </c>
    </row>
    <row r="50" spans="1:13" ht="12.75">
      <c r="A50" s="249" t="s">
        <v>219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32749171</v>
      </c>
      <c r="K50" s="61">
        <f>IF(K48&lt;0,-K48,0)</f>
        <v>170694841</v>
      </c>
      <c r="L50" s="61">
        <f>IF(L48&lt;0,-L48,0)</f>
        <v>0</v>
      </c>
      <c r="M50" s="61">
        <f>IF(M48&lt;0,-M48,0)</f>
        <v>181622772.09000006</v>
      </c>
    </row>
    <row r="51" spans="1:13" ht="12.75" customHeight="1">
      <c r="A51" s="198" t="s">
        <v>311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186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233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>
        <v>-30826724</v>
      </c>
      <c r="K53" s="7">
        <v>-167482055</v>
      </c>
      <c r="L53" s="7">
        <f>+L49-L54</f>
        <v>49198638.26000009</v>
      </c>
      <c r="M53" s="7">
        <f>+L53-228233262</f>
        <v>-179034623.73999992</v>
      </c>
    </row>
    <row r="54" spans="1:13" ht="12.75">
      <c r="A54" s="246" t="s">
        <v>234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>
        <v>-1922447</v>
      </c>
      <c r="K54" s="8">
        <v>-3212786</v>
      </c>
      <c r="L54" s="8">
        <v>-377813.35</v>
      </c>
      <c r="M54" s="8">
        <f>+L54-2210335</f>
        <v>-2588148.35</v>
      </c>
    </row>
    <row r="55" spans="1:13" ht="12.75" customHeight="1">
      <c r="A55" s="198" t="s">
        <v>188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203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f>+J48</f>
        <v>-32749171</v>
      </c>
      <c r="K56" s="6">
        <f>+K48</f>
        <v>-170694841</v>
      </c>
      <c r="L56" s="6">
        <f>+L48</f>
        <v>48820824.910000086</v>
      </c>
      <c r="M56" s="6">
        <f>+M48</f>
        <v>-181622772.09000006</v>
      </c>
    </row>
    <row r="57" spans="1:13" ht="12.75">
      <c r="A57" s="209" t="s">
        <v>220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5" ht="12.75">
      <c r="A58" s="209" t="s">
        <v>227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  <c r="O58" s="52" t="s">
        <v>350</v>
      </c>
    </row>
    <row r="59" spans="1:13" ht="12.75">
      <c r="A59" s="209" t="s">
        <v>228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229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230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4" ht="12.75">
      <c r="A63" s="209" t="s">
        <v>231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  <c r="N63" s="128"/>
    </row>
    <row r="64" spans="1:13" ht="12.75">
      <c r="A64" s="209" t="s">
        <v>232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221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192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193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-32749171</v>
      </c>
      <c r="K67" s="61">
        <f>K56+K66</f>
        <v>-170694841</v>
      </c>
      <c r="L67" s="61">
        <f>L56+L66</f>
        <v>48820824.910000086</v>
      </c>
      <c r="M67" s="61">
        <f>M56+M66</f>
        <v>-181622772.09000006</v>
      </c>
    </row>
    <row r="68" spans="1:13" ht="12.75" customHeight="1">
      <c r="A68" s="242" t="s">
        <v>312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233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-30826724</v>
      </c>
      <c r="K70" s="7">
        <v>-167482055</v>
      </c>
      <c r="L70" s="7">
        <f>+L53</f>
        <v>49198638.26000009</v>
      </c>
      <c r="M70" s="7">
        <f>+M53</f>
        <v>-179034623.73999992</v>
      </c>
    </row>
    <row r="71" spans="1:13" ht="12.75">
      <c r="A71" s="239" t="s">
        <v>234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-1922447</v>
      </c>
      <c r="K71" s="8">
        <v>-3212786</v>
      </c>
      <c r="L71" s="8">
        <f>+L54</f>
        <v>-377813.35</v>
      </c>
      <c r="M71" s="8">
        <f>+M54</f>
        <v>-2588148.35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349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278</v>
      </c>
      <c r="J4" s="67" t="s">
        <v>318</v>
      </c>
      <c r="K4" s="67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282</v>
      </c>
      <c r="K5" s="69" t="s">
        <v>283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-32749171</v>
      </c>
      <c r="K7" s="7">
        <v>48820825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164925176</v>
      </c>
      <c r="K8" s="7">
        <v>216559351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39374826</v>
      </c>
      <c r="K9" s="7">
        <v>2711768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2936045</v>
      </c>
      <c r="K10" s="7">
        <v>1845323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264251</v>
      </c>
      <c r="K11" s="7">
        <v>11135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10829871</v>
      </c>
      <c r="K12" s="7">
        <v>1864584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185580998</v>
      </c>
      <c r="K13" s="53">
        <f>SUM(K7:K12)</f>
        <v>271812986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1779724</v>
      </c>
      <c r="K14" s="7">
        <v>3533530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5527663</v>
      </c>
      <c r="K15" s="7">
        <v>6284955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995381</v>
      </c>
      <c r="K16" s="7">
        <v>648097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8413819</v>
      </c>
      <c r="K17" s="7">
        <v>7142230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16716587</v>
      </c>
      <c r="K18" s="53">
        <f>SUM(K14:K17)</f>
        <v>17608812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168864411</v>
      </c>
      <c r="K19" s="53">
        <f>IF(K13&gt;K18,K13-K18,0)</f>
        <v>254204174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152637</v>
      </c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202075</v>
      </c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354712</v>
      </c>
      <c r="K27" s="53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465653709</v>
      </c>
      <c r="K28" s="7">
        <v>88475025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5364523</v>
      </c>
      <c r="K29" s="7">
        <v>505824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471018232</v>
      </c>
      <c r="K31" s="53">
        <f>SUM(K28:K30)</f>
        <v>88980849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470663520</v>
      </c>
      <c r="K33" s="53">
        <f>IF(K31&gt;K27,K31-K27,0)</f>
        <v>88980849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>
        <v>334760000</v>
      </c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152893214</v>
      </c>
      <c r="K36" s="7">
        <v>70759287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131327231</v>
      </c>
      <c r="K37" s="7">
        <v>15048545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618980445</v>
      </c>
      <c r="K38" s="53">
        <f>SUM(K35:K37)</f>
        <v>85807832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207695692</v>
      </c>
      <c r="K39" s="7">
        <v>117169261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>
        <v>100189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>
        <v>37793424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>
        <v>63143661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207695692</v>
      </c>
      <c r="K44" s="53">
        <f>SUM(K39:K43)</f>
        <v>218206535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411284753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0</v>
      </c>
      <c r="K46" s="53">
        <f>IF(K44&gt;K38,K44-K38,0)</f>
        <v>132398703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+J19+J32+J45</f>
        <v>580149164</v>
      </c>
      <c r="K47" s="53">
        <f>+K19+K32+K45</f>
        <v>254204174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+J20+J33+J46</f>
        <v>470663520</v>
      </c>
      <c r="K48" s="53">
        <f>+K20+K33+K46</f>
        <v>221379552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52941864</v>
      </c>
      <c r="K49" s="7">
        <v>162382222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f>+J47-J48</f>
        <v>109485644</v>
      </c>
      <c r="K50" s="7">
        <f>+K47-K48</f>
        <v>32824622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5">
        <f>J49+J50-J51</f>
        <v>162427508</v>
      </c>
      <c r="K52" s="61">
        <f>K49+K50-K51</f>
        <v>195206844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278</v>
      </c>
      <c r="J4" s="67" t="s">
        <v>318</v>
      </c>
      <c r="K4" s="67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282</v>
      </c>
      <c r="K5" s="73" t="s">
        <v>283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198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197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320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321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125" zoomScaleSheetLayoutView="125" zoomScalePageLayoutView="0" workbookViewId="0" topLeftCell="A1">
      <selection activeCell="O18" sqref="O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2" width="9.140625" style="76" customWidth="1"/>
    <col min="13" max="13" width="11.28125" style="76" bestFit="1" customWidth="1"/>
    <col min="14" max="14" width="9.140625" style="76" customWidth="1"/>
    <col min="15" max="15" width="13.00390625" style="76" bestFit="1" customWidth="1"/>
    <col min="16" max="16384" width="9.140625" style="76" customWidth="1"/>
  </cols>
  <sheetData>
    <row r="1" spans="1:12" ht="12.75">
      <c r="A1" s="286" t="s">
        <v>280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71" t="s">
        <v>281</v>
      </c>
      <c r="D2" s="271"/>
      <c r="E2" s="77" t="s">
        <v>344</v>
      </c>
      <c r="F2" s="43" t="s">
        <v>249</v>
      </c>
      <c r="G2" s="272" t="s">
        <v>345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304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1065463400</v>
      </c>
      <c r="K5" s="45">
        <f>+Bilanca!K70</f>
        <v>1065463400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478814684</v>
      </c>
      <c r="K6" s="46">
        <f>+Bilanca!K71</f>
        <v>478235922.9</v>
      </c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156420895</v>
      </c>
      <c r="K7" s="46">
        <f>+Bilanca!K72</f>
        <v>121513506.33000001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-7030800</v>
      </c>
      <c r="K8" s="46">
        <f>+Bilanca!K79</f>
        <v>-36834434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-28428818</v>
      </c>
      <c r="K9" s="46">
        <f>+Bilanca!K82</f>
        <v>49198638.26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1055498</v>
      </c>
      <c r="K12" s="46">
        <f>+Bilanca!K78</f>
        <v>262263.4</v>
      </c>
    </row>
    <row r="13" spans="1:15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  <c r="O13" s="129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1666294859</v>
      </c>
      <c r="K14" s="79">
        <f>SUM(K5:K13)</f>
        <v>1677839296.89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301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302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303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279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315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asopta</cp:lastModifiedBy>
  <cp:lastPrinted>2012-04-17T08:59:15Z</cp:lastPrinted>
  <dcterms:created xsi:type="dcterms:W3CDTF">2008-10-17T11:51:54Z</dcterms:created>
  <dcterms:modified xsi:type="dcterms:W3CDTF">2013-02-04T09:09:31Z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