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'Bilješke'!$A$1:$J$125</definedName>
    <definedName name="_xlnm.Print_Area" localSheetId="0">'OPĆI PODACI'!$A$1:$I$63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<sst xmlns="http://schemas.openxmlformats.org/spreadsheetml/2006/main" count="352" uniqueCount="319">
  <si>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</si>
  <si>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</si>
  <si>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</si>
  <si>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</si>
  <si>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</si>
  <si>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</si>
  <si>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</si>
  <si>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</si>
  <si>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</si>
  <si>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</si>
  <si>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</si>
  <si>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</si>
  <si>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</si>
  <si>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</si>
  <si>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</si>
  <si>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</si>
  <si>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</si>
  <si>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</si>
  <si>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</si>
  <si>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</si>
  <si>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</si>
  <si>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</si>
  <si>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</si>
  <si>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</si>
  <si>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</si>
  <si>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</si>
  <si>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</si>
  <si>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</si>
  <si>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</si>
  <si>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</si>
  <si>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</si>
  <si>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</si>
  <si>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</si>
  <si>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</si>
  <si>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</si>
  <si>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</si>
  <si>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</si>
  <si>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</si>
  <si>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</si>
  <si>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</si>
  <si>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</si>
  <si>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</si>
  <si>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</si>
  <si>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</si>
  <si>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</si>
  <si>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</si>
  <si>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</si>
  <si>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</si>
  <si>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</si>
  <si>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</si>
  <si>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</si>
  <si>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</si>
  <si>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</si>
  <si>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</si>
  <si>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</si>
  <si>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</si>
  <si>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</si>
  <si>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</si>
  <si>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</si>
  <si>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</si>
  <si>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</si>
  <si>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</si>
  <si>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</si>
  <si>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</si>
  <si>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</si>
  <si>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</si>
  <si>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</si>
  <si>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</si>
  <si>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</si>
  <si>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</si>
  <si>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</si>
  <si>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</si>
  <si>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</si>
  <si>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</si>
  <si>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</si>
  <si>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</si>
  <si>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</si>
  <si>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</si>
  <si>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</si>
  <si>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</si>
  <si>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</si>
  <si>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</si>
  <si>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</si>
  <si>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</si>
  <si>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</si>
  <si>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</si>
  <si>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</si>
  <si>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</si>
  <si>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</si>
  <si>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</si>
  <si>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</si>
  <si>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</si>
  <si>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</si>
  <si>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</si>
  <si>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</si>
  <si>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</si>
  <si>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</si>
  <si>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</si>
  <si>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</si>
  <si>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</si>
  <si>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</si>
  <si>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</si>
  <si>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</si>
  <si>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</si>
  <si>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</si>
  <si>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</si>
  <si>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</si>
  <si>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</si>
  <si>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</si>
  <si>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</si>
  <si>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</si>
  <si>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</si>
  <si>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</si>
  <si>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</si>
  <si>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</si>
  <si>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</si>
  <si>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</si>
  <si>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</si>
  <si>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</si>
  <si>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</si>
  <si>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</si>
  <si>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</si>
  <si>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</si>
  <si>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</si>
  <si>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</si>
  <si>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</si>
  <si>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</si>
  <si>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</si>
  <si>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</si>
  <si>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</si>
  <si>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</si>
  <si>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</si>
  <si>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</si>
  <si>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</si>
  <si>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</si>
  <si>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</si>
  <si>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</si>
  <si>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</si>
  <si>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</si>
  <si>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</si>
  <si>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</si>
  <si>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</si>
  <si>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</si>
  <si>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</si>
  <si>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</si>
  <si>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</si>
  <si>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</si>
  <si>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</si>
  <si>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</si>
  <si>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</si>
  <si>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</si>
  <si>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</si>
  <si>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</si>
  <si>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</si>
  <si>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</si>
  <si>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</si>
  <si>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</si>
  <si>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</si>
  <si>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</si>
  <si>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</si>
  <si>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</si>
  <si>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</si>
  <si>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</si>
  <si>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</si>
  <si>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</si>
  <si>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</si>
  <si>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</si>
  <si>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</si>
  <si>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</si>
  <si>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</si>
  <si>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</si>
  <si>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</si>
  <si>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</si>
  <si>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</si>
  <si>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</si>
  <si>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</si>
  <si>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</si>
  <si>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</si>
  <si>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</si>
  <si>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</si>
  <si>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</si>
  <si>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</si>
  <si>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</si>
  <si>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</si>
  <si>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</si>
  <si>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</si>
  <si>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</si>
  <si>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</si>
  <si>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</si>
  <si>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</si>
  <si>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</si>
  <si>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</si>
  <si>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</si>
  <si>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</si>
  <si>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</si>
  <si>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</si>
  <si>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</si>
  <si>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</si>
  <si>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</si>
  <si>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</si>
  <si>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</si>
  <si>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</si>
  <si>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</si>
  <si>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</si>
  <si>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</si>
  <si>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</si>
  <si>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</si>
  <si>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</si>
  <si>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</si>
  <si>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</si>
  <si>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</si>
  <si>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</si>
  <si>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</si>
  <si>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</si>
  <si>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</si>
  <si>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</si>
  <si>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</si>
  <si>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</si>
  <si>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</si>
  <si>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</si>
  <si>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</si>
  <si>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</si>
  <si>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</si>
  <si>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</si>
  <si>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</si>
  <si>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</si>
  <si>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</si>
  <si>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</si>
  <si>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</si>
  <si>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</si>
  <si>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</si>
  <si>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</si>
  <si>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</si>
  <si>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</si>
  <si>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</si>
  <si>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</si>
  <si>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</si>
  <si>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</si>
  <si>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</si>
  <si>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</si>
  <si>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</si>
  <si>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</si>
  <si>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</si>
  <si>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</si>
  <si>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</si>
  <si>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</si>
  <si>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</si>
  <si>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</si>
  <si>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</si>
  <si>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</si>
  <si>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</si>
  <si>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</si>
  <si>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</si>
  <si>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</si>
  <si>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</si>
  <si>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</si>
  <si>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</si>
  <si>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</si>
  <si>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</si>
  <si>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</si>
  <si>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</si>
  <si>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</si>
  <si>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</si>
  <si>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</si>
  <si>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</si>
  <si>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</si>
  <si>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</si>
  <si>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</si>
  <si>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</si>
  <si>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</si>
  <si>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</si>
  <si>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</si>
  <si>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</si>
  <si>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</si>
  <si>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</si>
  <si>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</si>
  <si>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</si>
  <si>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</si>
  <si>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</si>
  <si>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</si>
  <si>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</si>
  <si>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</si>
  <si>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</si>
  <si>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</si>
  <si>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</si>
  <si>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03674223</t>
  </si>
  <si>
    <t>080004355</t>
  </si>
  <si>
    <t>24503685008</t>
  </si>
  <si>
    <t>PETROKEMIJA d.d. tvornica gnojiva</t>
  </si>
  <si>
    <t>KUTINA</t>
  </si>
  <si>
    <t>ALEJA VUKOVAR 4</t>
  </si>
  <si>
    <t>fin@petrokemija.hr</t>
  </si>
  <si>
    <t>www.petrokemija.hr</t>
  </si>
  <si>
    <t>SISAČKO-MOSLAVAČKA</t>
  </si>
  <si>
    <t>MARIĆ MARINA</t>
  </si>
  <si>
    <t>044-647-829</t>
  </si>
  <si>
    <t>044-682-819</t>
  </si>
  <si>
    <t>marina.maric@petrokemija.hr</t>
  </si>
  <si>
    <t>RESTORAN PETROKEMIJA d.o.o.</t>
  </si>
  <si>
    <t>01335316</t>
  </si>
  <si>
    <t>PETROKEMIJA  d.o.o.</t>
  </si>
  <si>
    <t>NOVI SAD</t>
  </si>
  <si>
    <t>08754608</t>
  </si>
  <si>
    <t>NOVO MESTO</t>
  </si>
  <si>
    <t>12034614</t>
  </si>
  <si>
    <t>DA</t>
  </si>
  <si>
    <t>20.15</t>
  </si>
  <si>
    <t xml:space="preserve">  9. Ostala revalorizacija (pripisano manjinskom interesu)</t>
  </si>
  <si>
    <t xml:space="preserve">Obveznik: GRUPA PETROKEMIJA </t>
  </si>
  <si>
    <t>Obveznik: GRUPA PETROKEMIJA</t>
  </si>
  <si>
    <t>01.01.2013.</t>
  </si>
  <si>
    <t>LUKA ŠIBENIK d.o.o.</t>
  </si>
  <si>
    <t>ŠIBENIK</t>
  </si>
  <si>
    <t>03037525</t>
  </si>
  <si>
    <t>MARČINKO DRAGAN, DOŠEN KARLO</t>
  </si>
  <si>
    <t>31.12.2013.</t>
  </si>
  <si>
    <t>stanje na dan 31.12.2013.</t>
  </si>
  <si>
    <t>za razdoblje od 01.01.2013. do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</si>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</sst>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4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29" xfId="0" applyFill="1" applyBorder="1" applyAlignment="1">
      <alignment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5" xfId="0" applyNumberFormat="1" applyFont="1" applyFill="1" applyBorder="1" applyAlignment="1" applyProtection="1">
      <alignment vertical="center"/>
      <protection hidden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4" xfId="6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22" xfId="61" applyFont="1" applyFill="1" applyBorder="1" applyAlignment="1">
      <alignment horizontal="left" vertical="center" wrapText="1"/>
      <protection/>
    </xf>
    <xf numFmtId="0" fontId="10" fillId="0" borderId="36" xfId="61" applyFont="1" applyFill="1" applyBorder="1" applyAlignment="1">
      <alignment horizontal="left" vertical="center" wrapText="1"/>
      <protection/>
    </xf>
    <xf numFmtId="0" fontId="10" fillId="0" borderId="37" xfId="61" applyFont="1" applyFill="1" applyBorder="1" applyAlignment="1">
      <alignment horizontal="left" vertical="center" wrapText="1"/>
      <protection/>
    </xf>
    <xf numFmtId="0" fontId="7" fillId="0" borderId="27" xfId="61" applyFont="1" applyFill="1" applyBorder="1" applyAlignment="1">
      <alignment horizontal="center" vertical="center" wrapText="1"/>
      <protection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il 1" xfId="61"/>
    <cellStyle name="Title" xfId="62"/>
    <cellStyle name="Total" xfId="63"/>
    <cellStyle name="Warning Text" xfId="6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57150</xdr:rowOff>
    </xdr:from>
    <xdr:to>
      <xdr:col>9</xdr:col>
      <xdr:colOff>457200</xdr:colOff>
      <xdr:row>123</xdr:row>
      <xdr:rowOff>38100</xdr:rowOff>
    </xdr:to>
    <xdr:sp>
      <xdr:nvSpPr>
        <xdr:cNvPr id="1" name="TekstniOkvir 1"/>
        <xdr:cNvSpPr txBox="1">
          <a:spLocks noChangeArrowheads="1"/>
        </xdr:cNvSpPr>
      </xdr:nvSpPr>
      <xdr:spPr>
        <a:xfrm>
          <a:off x="95250" y="581025"/>
          <a:ext cx="5848350" cy="1944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GRUPA PETROKEMIJA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Kao što se vidi iz podataka u tablicama računa dobiti i gubitka i bilance, društva kćeri nemaju značajnog utjecaja na rezultat Grupe Petrokemija. Društva kćeri su: Restoran Petrokemija d.o.o. Kutina, Petrokemija d.o.o. Novi Sad, Petrokemija d.o.o. Novo Mesto, Luka Šibenik d.o.o. Šibenik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razdoblju I-XII 2013. godine Grupa Petrokemija ostvarila je ukupne prihode 2.584,1 milijuna kuna, ukupne rashode od 2.914,8 milijuna kuna te je iskazala gubitak u poslovanju od 330,7 milijuna kuna ili 12,8% od ukupnih prihoda. Na godišnjoj  razini , ukupni prihodi manji su u odnosu na 2012.g. 15,4%, dok su ukupni rashodi manji za 10,0%.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strukturi gubitka 299,9 milijuna kuna ili 90,7% ostvareno je iz poslovnih aktivnosti, a 30,8 milijuna kuna ili 9,3% iz financijskog poslovanja.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Pokazatelj EBITDA (dobit prije kamata, poreza i amortizacije) je negativan u iznosu od 203,5 milijuna kuna. U 2012. godini EBITDA je bila  negativna 64,7 milijuna kuna.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razdoblju X - XII 2013. godine Petrokemija d.d. ostvarila je ukupne prihode 712,5 milijuna kuna, ukupne rashode od 852,6 milijuna kuna te je iskazala gubitak u poslovanju od 140,1 milijuna kuna ili 19,7% od ukupnih prihoda. Glavnina negativnog učinka ostvarena je pod utjecajem pada cijena dušičnih gnojiva Urea i Kan na svjetskom tržištu. Nakon 119,9 milijuna gubitka u trećem tromjesečju gubitak je povećan na 140,1 milijuna kuna, a pokazatelj EBITDA bio je negativan 111,4 milijuna kuna. U usporedbi s istim razdobljem prošle godine, gubitak prije oporezivanja u četvrtom tromjesečju 2013.g. je veći za 96,7 milijuna kuna, u čemu je 20,5 milijuna kuna iznos otpremnina radnicima zbog poslovno uvjetovanih razloga.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Glavninu dispariteta u kretanju prihoda i rashoda generirao je pad potražnje na svjetskom i regionalnom tržištu i s tim povezani pad cijena gnojiva. Manje ostvarenje prodaje na domaćem tržištu odraz je općeg lošeg stanja u poljoprivredi, povećane konkurencije, smanjivanja i kašnjenja u isplati državnih poticaja te nepovoljnih vremenskih uvjeta. Izvještajno razdoblje karakterizira opći trend pada nabavnih cijena sirovina i prodajnih cijena mineralnih gnojiva. Cijena plina u tom općem trendu je izolirana pojava i ostvaruje se pod utjecajem specifičnih čimbenika na hrvatskom tržište plina i pozicije Petrokemije d.d., kao jednog od dva najveća kupca, na još uvijek relativno nerazvijenom domaćem tržištu plina.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Zbog manje prodaje došlo je do povećanja fiksnih troškova po jedinici proizvoda i gubitka u poslovanju. Negativan učinak na poslovanje u prvom polugodištu 2013. godine imali su i izdaci za godišnji remont postrojenja za proizvodnju mineralnih gnojiva, koji je izveden tijekom siječnja te utjecaj dijela prenesenih zaliha iz 2012. godine.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Tijekom četvrtog  tromjesečja 2013. godine nastavljen je trend istovremenog djelovanja više činitelja koji su imali negativan utjecaj na financijski rezultat Petrokemije d.d. U promatranom razdoblju došlo je do daljnjeg snižavanja cijena gotovih proizvoda na svjetskom tržištu gnojiva.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Ovaj utjecaj je djelovao kumulativno s naglašenim padom potražnje na domaćem tržištu i široj regiji, tako da je poslovanje s gubitkom prešlo razinu prethodnih dinamičkih procjena. Istovremeno, padale su i cijene većeg dijela sirovina u proizvodnji mineralnih gnojiva.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 tome treba istaći da, neovisno o poslovnim potezima Petrokemije d.d., kada na tržištu u dužem vremenskom razdoblju cijene kontinuirano padaju, dolazi i do trećeg negativnog učinka, a to je sustezanje od kupnje robe od strane veletrgovaca i odgađanje kupnje gnojiva do krajnjeg trenutka primjene kod poljoprivrednih proizvođača.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pad potražnje dodatni negativan učinak imao je pad cijena osnovnih poljoprivrednih proizvoda i nedostatak financijskih sredstava kod poljoprivrednika. Odraz je to manjih prinosa zbog suše u prethodnim godinama i dugotrajnog nepovoljnog položaja ratarske proizvodnje u vrijednosnom lancu proizvodnje hrane.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izvještajnom razdoblju ostvareni su 15,1% manji poslovni prihodi od 2012. godine, zbog pada cijena mineralnih gnojiva na domaćem, svjetskom i regionalnom tržištu. Ukupna prodaja gnojiva manja je 1,7% u odnosu na prethodnu godinu.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Manje ostvarenje poslovnih rashoda u odnosu na isto razdoblje prethodne godine odraz je manjih količina prodaje i nižih prosječnih ulaznih cijena sirovina. Ostvaren je blagi pad nabavnih cijena svih ključnih sirovina, a kod prirodnog plina ova pojava je bila i nešto izraženija. Prosječna ostvarena nabavna cijena plina u 2013. godini, nakon dugog razdoblja stalnog trenda rasta, niža je 15% od 2012. godine, ali još uvijek 12% viša u odnosu na 2011. godinu.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2013. godini Petrokemija je, u odnosu na prošlu godinu, ostvarila manju ukupnu razinu proizvodnje za 4,2%, ali uz promjenu strukture: 2,4% porasla je proizvodnja Uree, 14,3%  KAN-a, a 27,8% smanjena je proizvodnja NPK-a gnojiva.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Prirodni plin kao najvažnija sirovina nabavlja se na domaćem tržištu prema ugovorima zaključenim s dva dobavljača - Prirodnim plinom d.o.o. iz Zagreba i Prvim plinarskim društvom d.o.o. iz Vukovara.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Zbog tržišnih razloga dio postrojenja je u zastoju od polovice 2009.g. i s tim problemom se ušlo i u 2014.g. Kriza izazvana neskladom ulazno-izlaznih cijena na tržištu čađe još uvijek je prisutna. Otvorenost Petrokemije d.d. kretanjima na svjetskom tržištu otvara značajne rizike mogućih cjenovnih i financijskih oscilacija i u 2014. godini.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Uz vlastita obrtna sredstva, kratkoročne kredite banaka i dugoročne kredite HBOR-a, Petrokemija je izvor financiranja obrtnih sredstava jednim dijelom osigurala i izdavanjem komercijalnih zapisa na Zagrebačkoj burzi, putem Privredne banke Zagreb kao agenta i dilera programa.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Zbog dugih rokova naplate potraživanja za gnojivo na domaćem tržištu te problema likvidnosti domaćih kupaca i zbog nedostatka vlastitih obrtnih sredstava, Petrokemija d.d. koristi faktoring kao oblik financiranja i naplate potraživanja u ugovorenim valutama plaćanja (uz obvezu kupca da snosi sve troškove i kamate vezane uz otkupe potraživanja).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iskazivanju stanja kratkotrajne imovine (potraživanja od kupaca) i kratkoročnih obveza (potencijalnih regresnih obveza prema faktoring društvima, u slučaju da dužnik ne podmiri svoju obvezu), Petrokemija d.d. je na 31.12.2013. godine uključila ove obveze i potraživanja u Bilancu. Na bilančnim pozicijama iskazani su u kratkotrajnoj imovini i obvezama u iznosu 125 milijuna kuna. U usporedbi sa stanjem 31.12. 2012. godine, stanje ovih transakcija je manje za 99 milijuna kuna ili 44,2%.  U izvješću o novčanom toku primici po osnovi naplate potraživanja od kupaca  putem faktoringa iskazani su u primicima od financijskih aktivnosti za 2013. godinu u iznosu 459,9  milijuna kuna, a prethodne godine u iznosu 557,6 milijuna kuna.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buduće kretanje financijskog rezultata Grupe Petrokemija utjecati će brojni činitelji. Osim cijene plina, koja se dominantno definira na domaćem tržištu, većina budućih rizika dolazi iz međunarodnog okruženja, a pretežito kroz: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Promjene cijena osnovnih sirovina na svjetskom tržištu (MAP, DAP, fosfat, kalijev klorid, sumpor),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Promjene razine potražnje i prodajnih cijena mineralnih gnojiva,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Kretanje cijena energenata - plina i lož ulja,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Kretanje cijena osnovnih poljoprivrednih kultura,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Tečaj USD i EUR-a prema domaćoj valuti,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Troškove financiranja i međuvalutarne odnose.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izvještajnom razdoblju pokazao se kao vrlo nepredvidiv rizik utjecaja nepovoljnih vremenskih prilika, koji je u značajnom dijelu poremetio dinamiku isporuke gnojiva i s tim povezane prihode na domaćem i regionalnom tržištu.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Tijekom izrade ovog financijskog izvještaja u tijeku su aktivnosti na dubinskoj analizi  Grupe Petrokemija od strane potencijalnih strateških partnera.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M27" sqref="M2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28125" style="11" customWidth="1"/>
    <col min="6" max="6" width="7.710937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2" t="s">
        <v>213</v>
      </c>
      <c r="B1" s="143"/>
      <c r="C1" s="143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80" t="s">
        <v>214</v>
      </c>
      <c r="B2" s="181"/>
      <c r="C2" s="181"/>
      <c r="D2" s="182"/>
      <c r="E2" s="109" t="s">
        <v>310</v>
      </c>
      <c r="F2" s="12"/>
      <c r="G2" s="13" t="s">
        <v>215</v>
      </c>
      <c r="H2" s="109" t="s">
        <v>315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83" t="s">
        <v>279</v>
      </c>
      <c r="B4" s="184"/>
      <c r="C4" s="184"/>
      <c r="D4" s="184"/>
      <c r="E4" s="184"/>
      <c r="F4" s="184"/>
      <c r="G4" s="184"/>
      <c r="H4" s="184"/>
      <c r="I4" s="185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33" t="s">
        <v>216</v>
      </c>
      <c r="B6" s="134"/>
      <c r="C6" s="148" t="s">
        <v>285</v>
      </c>
      <c r="D6" s="149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>
      <c r="A8" s="186" t="s">
        <v>217</v>
      </c>
      <c r="B8" s="187"/>
      <c r="C8" s="148" t="s">
        <v>286</v>
      </c>
      <c r="D8" s="149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8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>
      <c r="A10" s="128" t="s">
        <v>218</v>
      </c>
      <c r="B10" s="178"/>
      <c r="C10" s="148" t="s">
        <v>287</v>
      </c>
      <c r="D10" s="149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79"/>
      <c r="B11" s="178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33" t="s">
        <v>219</v>
      </c>
      <c r="B12" s="134"/>
      <c r="C12" s="150" t="s">
        <v>288</v>
      </c>
      <c r="D12" s="175"/>
      <c r="E12" s="175"/>
      <c r="F12" s="175"/>
      <c r="G12" s="175"/>
      <c r="H12" s="175"/>
      <c r="I12" s="136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33" t="s">
        <v>220</v>
      </c>
      <c r="B14" s="134"/>
      <c r="C14" s="176">
        <v>44320</v>
      </c>
      <c r="D14" s="177"/>
      <c r="E14" s="16"/>
      <c r="F14" s="150" t="s">
        <v>289</v>
      </c>
      <c r="G14" s="175"/>
      <c r="H14" s="175"/>
      <c r="I14" s="136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33" t="s">
        <v>221</v>
      </c>
      <c r="B16" s="134"/>
      <c r="C16" s="150" t="s">
        <v>290</v>
      </c>
      <c r="D16" s="175"/>
      <c r="E16" s="175"/>
      <c r="F16" s="175"/>
      <c r="G16" s="175"/>
      <c r="H16" s="175"/>
      <c r="I16" s="136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33" t="s">
        <v>222</v>
      </c>
      <c r="B18" s="134"/>
      <c r="C18" s="171" t="s">
        <v>291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33" t="s">
        <v>223</v>
      </c>
      <c r="B20" s="134"/>
      <c r="C20" s="171" t="s">
        <v>292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33" t="s">
        <v>224</v>
      </c>
      <c r="B22" s="134"/>
      <c r="C22" s="110">
        <v>220</v>
      </c>
      <c r="D22" s="150" t="s">
        <v>289</v>
      </c>
      <c r="E22" s="161"/>
      <c r="F22" s="162"/>
      <c r="G22" s="133"/>
      <c r="H22" s="174"/>
      <c r="I22" s="86"/>
      <c r="J22" s="10"/>
      <c r="K22" s="10"/>
      <c r="L22" s="10"/>
    </row>
    <row r="23" spans="1:12" ht="12.75">
      <c r="A23" s="83"/>
      <c r="B23" s="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33" t="s">
        <v>225</v>
      </c>
      <c r="B24" s="134"/>
      <c r="C24" s="110">
        <v>3</v>
      </c>
      <c r="D24" s="150" t="s">
        <v>293</v>
      </c>
      <c r="E24" s="161"/>
      <c r="F24" s="161"/>
      <c r="G24" s="162"/>
      <c r="H24" s="49" t="s">
        <v>226</v>
      </c>
      <c r="I24" s="111">
        <v>2294</v>
      </c>
      <c r="J24" s="10"/>
      <c r="K24" s="10"/>
      <c r="L24" s="10"/>
    </row>
    <row r="25" spans="1:12" ht="12.75">
      <c r="A25" s="83"/>
      <c r="B25" s="22"/>
      <c r="C25" s="16"/>
      <c r="D25" s="24"/>
      <c r="E25" s="24"/>
      <c r="F25" s="24"/>
      <c r="G25" s="22"/>
      <c r="H25" s="22" t="s">
        <v>280</v>
      </c>
      <c r="I25" s="87"/>
      <c r="J25" s="10"/>
      <c r="K25" s="10"/>
      <c r="L25" s="10"/>
    </row>
    <row r="26" spans="1:12" ht="12.75">
      <c r="A26" s="133" t="s">
        <v>227</v>
      </c>
      <c r="B26" s="134"/>
      <c r="C26" s="112" t="s">
        <v>305</v>
      </c>
      <c r="D26" s="25"/>
      <c r="E26" s="33"/>
      <c r="F26" s="24"/>
      <c r="G26" s="163" t="s">
        <v>228</v>
      </c>
      <c r="H26" s="134"/>
      <c r="I26" s="113" t="s">
        <v>306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64" t="s">
        <v>229</v>
      </c>
      <c r="B28" s="165"/>
      <c r="C28" s="166"/>
      <c r="D28" s="166"/>
      <c r="E28" s="167" t="s">
        <v>230</v>
      </c>
      <c r="F28" s="168"/>
      <c r="G28" s="168"/>
      <c r="H28" s="169" t="s">
        <v>231</v>
      </c>
      <c r="I28" s="170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58"/>
      <c r="B30" s="151"/>
      <c r="C30" s="151"/>
      <c r="D30" s="152"/>
      <c r="E30" s="158"/>
      <c r="F30" s="151"/>
      <c r="G30" s="151"/>
      <c r="H30" s="148"/>
      <c r="I30" s="149"/>
      <c r="J30" s="10"/>
      <c r="K30" s="10"/>
      <c r="L30" s="10"/>
    </row>
    <row r="31" spans="1:12" ht="12.75">
      <c r="A31" s="83"/>
      <c r="B31" s="22"/>
      <c r="C31" s="21"/>
      <c r="D31" s="159"/>
      <c r="E31" s="159"/>
      <c r="F31" s="159"/>
      <c r="G31" s="160"/>
      <c r="H31" s="16"/>
      <c r="I31" s="90"/>
      <c r="J31" s="10"/>
      <c r="K31" s="10"/>
      <c r="L31" s="10"/>
    </row>
    <row r="32" spans="1:12" ht="12.75">
      <c r="A32" s="158" t="s">
        <v>298</v>
      </c>
      <c r="B32" s="151"/>
      <c r="C32" s="151"/>
      <c r="D32" s="152"/>
      <c r="E32" s="158" t="s">
        <v>289</v>
      </c>
      <c r="F32" s="151"/>
      <c r="G32" s="151"/>
      <c r="H32" s="148" t="s">
        <v>299</v>
      </c>
      <c r="I32" s="149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58" t="s">
        <v>300</v>
      </c>
      <c r="B34" s="151"/>
      <c r="C34" s="151"/>
      <c r="D34" s="152"/>
      <c r="E34" s="158" t="s">
        <v>301</v>
      </c>
      <c r="F34" s="151"/>
      <c r="G34" s="151"/>
      <c r="H34" s="148" t="s">
        <v>302</v>
      </c>
      <c r="I34" s="149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58" t="s">
        <v>300</v>
      </c>
      <c r="B36" s="151"/>
      <c r="C36" s="151"/>
      <c r="D36" s="152"/>
      <c r="E36" s="158" t="s">
        <v>303</v>
      </c>
      <c r="F36" s="151"/>
      <c r="G36" s="151"/>
      <c r="H36" s="148" t="s">
        <v>304</v>
      </c>
      <c r="I36" s="149"/>
      <c r="J36" s="10"/>
      <c r="K36" s="10"/>
      <c r="L36" s="10"/>
    </row>
    <row r="37" spans="1:12" ht="12.75">
      <c r="A37" s="92"/>
      <c r="B37" s="30"/>
      <c r="C37" s="153"/>
      <c r="D37" s="154"/>
      <c r="E37" s="16"/>
      <c r="F37" s="153"/>
      <c r="G37" s="154"/>
      <c r="H37" s="16"/>
      <c r="I37" s="84"/>
      <c r="J37" s="10"/>
      <c r="K37" s="10"/>
      <c r="L37" s="10"/>
    </row>
    <row r="38" spans="1:12" ht="12.75">
      <c r="A38" s="158" t="s">
        <v>311</v>
      </c>
      <c r="B38" s="151"/>
      <c r="C38" s="151"/>
      <c r="D38" s="152"/>
      <c r="E38" s="158" t="s">
        <v>312</v>
      </c>
      <c r="F38" s="151"/>
      <c r="G38" s="151"/>
      <c r="H38" s="148" t="s">
        <v>313</v>
      </c>
      <c r="I38" s="149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58"/>
      <c r="B40" s="151"/>
      <c r="C40" s="151"/>
      <c r="D40" s="152"/>
      <c r="E40" s="158"/>
      <c r="F40" s="151"/>
      <c r="G40" s="151"/>
      <c r="H40" s="148"/>
      <c r="I40" s="149"/>
      <c r="J40" s="10"/>
      <c r="K40" s="10"/>
      <c r="L40" s="10"/>
    </row>
    <row r="41" spans="1:12" ht="12.75">
      <c r="A41" s="114"/>
      <c r="B41" s="33"/>
      <c r="C41" s="33"/>
      <c r="D41" s="33"/>
      <c r="E41" s="23"/>
      <c r="F41" s="115"/>
      <c r="G41" s="115"/>
      <c r="H41" s="116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>
      <c r="A44" s="128" t="s">
        <v>232</v>
      </c>
      <c r="B44" s="129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92"/>
      <c r="B45" s="30"/>
      <c r="C45" s="153"/>
      <c r="D45" s="154"/>
      <c r="E45" s="16"/>
      <c r="F45" s="153"/>
      <c r="G45" s="155"/>
      <c r="H45" s="35"/>
      <c r="I45" s="96"/>
      <c r="J45" s="10"/>
      <c r="K45" s="10"/>
      <c r="L45" s="10"/>
    </row>
    <row r="46" spans="1:12" ht="12.75">
      <c r="A46" s="128" t="s">
        <v>233</v>
      </c>
      <c r="B46" s="129"/>
      <c r="C46" s="150" t="s">
        <v>294</v>
      </c>
      <c r="D46" s="156"/>
      <c r="E46" s="156"/>
      <c r="F46" s="156"/>
      <c r="G46" s="156"/>
      <c r="H46" s="156"/>
      <c r="I46" s="157"/>
      <c r="J46" s="10"/>
      <c r="K46" s="10"/>
      <c r="L46" s="10"/>
    </row>
    <row r="47" spans="1:12" ht="12.75">
      <c r="A47" s="83"/>
      <c r="B47" s="22"/>
      <c r="C47" s="21" t="s">
        <v>234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 ht="12.75">
      <c r="A48" s="128" t="s">
        <v>235</v>
      </c>
      <c r="B48" s="129"/>
      <c r="C48" s="135" t="s">
        <v>295</v>
      </c>
      <c r="D48" s="131"/>
      <c r="E48" s="132"/>
      <c r="F48" s="16"/>
      <c r="G48" s="49" t="s">
        <v>236</v>
      </c>
      <c r="H48" s="135" t="s">
        <v>296</v>
      </c>
      <c r="I48" s="132"/>
      <c r="J48" s="10"/>
      <c r="K48" s="10"/>
      <c r="L48" s="10"/>
    </row>
    <row r="49" spans="1:12" ht="12.75">
      <c r="A49" s="83"/>
      <c r="B49" s="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>
      <c r="A50" s="128" t="s">
        <v>222</v>
      </c>
      <c r="B50" s="129"/>
      <c r="C50" s="130" t="s">
        <v>297</v>
      </c>
      <c r="D50" s="131"/>
      <c r="E50" s="131"/>
      <c r="F50" s="131"/>
      <c r="G50" s="131"/>
      <c r="H50" s="131"/>
      <c r="I50" s="132"/>
      <c r="J50" s="10"/>
      <c r="K50" s="10"/>
      <c r="L50" s="10"/>
    </row>
    <row r="51" spans="1:12" ht="12.75">
      <c r="A51" s="83"/>
      <c r="B51" s="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33" t="s">
        <v>237</v>
      </c>
      <c r="B52" s="134"/>
      <c r="C52" s="135" t="s">
        <v>314</v>
      </c>
      <c r="D52" s="131"/>
      <c r="E52" s="131"/>
      <c r="F52" s="131"/>
      <c r="G52" s="131"/>
      <c r="H52" s="131"/>
      <c r="I52" s="136"/>
      <c r="J52" s="10"/>
      <c r="K52" s="10"/>
      <c r="L52" s="10"/>
    </row>
    <row r="53" spans="1:12" ht="12.75">
      <c r="A53" s="97"/>
      <c r="B53" s="20"/>
      <c r="C53" s="144" t="s">
        <v>238</v>
      </c>
      <c r="D53" s="144"/>
      <c r="E53" s="144"/>
      <c r="F53" s="144"/>
      <c r="G53" s="144"/>
      <c r="H53" s="144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37" t="s">
        <v>239</v>
      </c>
      <c r="C55" s="138"/>
      <c r="D55" s="138"/>
      <c r="E55" s="138"/>
      <c r="F55" s="47"/>
      <c r="G55" s="47"/>
      <c r="H55" s="47"/>
      <c r="I55" s="99"/>
      <c r="J55" s="10"/>
      <c r="K55" s="10"/>
      <c r="L55" s="10"/>
    </row>
    <row r="56" spans="1:12" ht="12.75">
      <c r="A56" s="97"/>
      <c r="B56" s="139" t="s">
        <v>269</v>
      </c>
      <c r="C56" s="140"/>
      <c r="D56" s="140"/>
      <c r="E56" s="140"/>
      <c r="F56" s="140"/>
      <c r="G56" s="140"/>
      <c r="H56" s="140"/>
      <c r="I56" s="141"/>
      <c r="J56" s="10"/>
      <c r="K56" s="10"/>
      <c r="L56" s="10"/>
    </row>
    <row r="57" spans="1:12" ht="12.75">
      <c r="A57" s="97"/>
      <c r="B57" s="139" t="s">
        <v>270</v>
      </c>
      <c r="C57" s="140"/>
      <c r="D57" s="140"/>
      <c r="E57" s="140"/>
      <c r="F57" s="140"/>
      <c r="G57" s="140"/>
      <c r="H57" s="140"/>
      <c r="I57" s="99"/>
      <c r="J57" s="10"/>
      <c r="K57" s="10"/>
      <c r="L57" s="10"/>
    </row>
    <row r="58" spans="1:12" ht="12.75">
      <c r="A58" s="97"/>
      <c r="B58" s="139" t="s">
        <v>271</v>
      </c>
      <c r="C58" s="140"/>
      <c r="D58" s="140"/>
      <c r="E58" s="140"/>
      <c r="F58" s="140"/>
      <c r="G58" s="140"/>
      <c r="H58" s="140"/>
      <c r="I58" s="141"/>
      <c r="J58" s="10"/>
      <c r="K58" s="10"/>
      <c r="L58" s="10"/>
    </row>
    <row r="59" spans="1:12" ht="12.75">
      <c r="A59" s="97"/>
      <c r="B59" s="139" t="s">
        <v>272</v>
      </c>
      <c r="C59" s="140"/>
      <c r="D59" s="140"/>
      <c r="E59" s="140"/>
      <c r="F59" s="140"/>
      <c r="G59" s="140"/>
      <c r="H59" s="140"/>
      <c r="I59" s="141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240</v>
      </c>
      <c r="B61" s="16"/>
      <c r="C61" s="16"/>
      <c r="D61" s="16"/>
      <c r="E61" s="16"/>
      <c r="F61" s="16"/>
      <c r="G61" s="37"/>
      <c r="H61" s="38"/>
      <c r="I61" s="104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241</v>
      </c>
      <c r="F62" s="33"/>
      <c r="G62" s="145" t="s">
        <v>242</v>
      </c>
      <c r="H62" s="146"/>
      <c r="I62" s="147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26"/>
      <c r="H63" s="127"/>
      <c r="I63" s="10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82">
      <selection activeCell="A43" sqref="A43:H43"/>
    </sheetView>
  </sheetViews>
  <sheetFormatPr defaultColWidth="9.140625" defaultRowHeight="12.75"/>
  <cols>
    <col min="1" max="9" width="9.140625" style="50" customWidth="1"/>
    <col min="10" max="11" width="12.7109375" style="50" customWidth="1"/>
    <col min="12" max="16384" width="9.140625" style="50" customWidth="1"/>
  </cols>
  <sheetData>
    <row r="1" spans="1:11" ht="18.75" customHeight="1">
      <c r="A1" s="198" t="s">
        <v>127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6.5" customHeight="1">
      <c r="A2" s="199" t="s">
        <v>316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309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39</v>
      </c>
      <c r="B4" s="204"/>
      <c r="C4" s="204"/>
      <c r="D4" s="204"/>
      <c r="E4" s="204"/>
      <c r="F4" s="204"/>
      <c r="G4" s="204"/>
      <c r="H4" s="205"/>
      <c r="I4" s="55" t="s">
        <v>243</v>
      </c>
      <c r="J4" s="56" t="s">
        <v>281</v>
      </c>
      <c r="K4" s="57" t="s">
        <v>282</v>
      </c>
    </row>
    <row r="5" spans="1:11" ht="12.75">
      <c r="A5" s="188">
        <v>1</v>
      </c>
      <c r="B5" s="188"/>
      <c r="C5" s="188"/>
      <c r="D5" s="188"/>
      <c r="E5" s="188"/>
      <c r="F5" s="188"/>
      <c r="G5" s="188"/>
      <c r="H5" s="188"/>
      <c r="I5" s="54">
        <v>2</v>
      </c>
      <c r="J5" s="53">
        <v>3</v>
      </c>
      <c r="K5" s="53">
        <v>4</v>
      </c>
    </row>
    <row r="6" spans="1:11" ht="12.75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1"/>
    </row>
    <row r="7" spans="1:11" ht="12.75">
      <c r="A7" s="192" t="s">
        <v>40</v>
      </c>
      <c r="B7" s="193"/>
      <c r="C7" s="193"/>
      <c r="D7" s="193"/>
      <c r="E7" s="193"/>
      <c r="F7" s="193"/>
      <c r="G7" s="193"/>
      <c r="H7" s="194"/>
      <c r="I7" s="3">
        <v>1</v>
      </c>
      <c r="J7" s="6"/>
      <c r="K7" s="6"/>
    </row>
    <row r="8" spans="1:11" ht="12.75">
      <c r="A8" s="195" t="s">
        <v>10</v>
      </c>
      <c r="B8" s="196"/>
      <c r="C8" s="196"/>
      <c r="D8" s="196"/>
      <c r="E8" s="196"/>
      <c r="F8" s="196"/>
      <c r="G8" s="196"/>
      <c r="H8" s="197"/>
      <c r="I8" s="1">
        <v>2</v>
      </c>
      <c r="J8" s="124">
        <f>J9+J16+J26+J35+J39</f>
        <v>749049633</v>
      </c>
      <c r="K8" s="124">
        <f>K9+K16+K26+K35+K39</f>
        <v>719791636</v>
      </c>
    </row>
    <row r="9" spans="1:11" ht="12.75">
      <c r="A9" s="206" t="s">
        <v>170</v>
      </c>
      <c r="B9" s="207"/>
      <c r="C9" s="207"/>
      <c r="D9" s="207"/>
      <c r="E9" s="207"/>
      <c r="F9" s="207"/>
      <c r="G9" s="207"/>
      <c r="H9" s="208"/>
      <c r="I9" s="1">
        <v>3</v>
      </c>
      <c r="J9" s="124">
        <f>SUM(J10:J15)</f>
        <v>11585806</v>
      </c>
      <c r="K9" s="124">
        <f>SUM(K10:K15)</f>
        <v>10787124</v>
      </c>
    </row>
    <row r="10" spans="1:11" ht="12.75">
      <c r="A10" s="206" t="s">
        <v>88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11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7541608</v>
      </c>
      <c r="K11" s="7">
        <v>5409610</v>
      </c>
    </row>
    <row r="12" spans="1:11" ht="12.75">
      <c r="A12" s="206" t="s">
        <v>89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173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174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4044198</v>
      </c>
      <c r="K14" s="7">
        <v>5377514</v>
      </c>
    </row>
    <row r="15" spans="1:11" ht="12.75">
      <c r="A15" s="206" t="s">
        <v>175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171</v>
      </c>
      <c r="B16" s="207"/>
      <c r="C16" s="207"/>
      <c r="D16" s="207"/>
      <c r="E16" s="207"/>
      <c r="F16" s="207"/>
      <c r="G16" s="207"/>
      <c r="H16" s="208"/>
      <c r="I16" s="1">
        <v>10</v>
      </c>
      <c r="J16" s="124">
        <f>SUM(J17:J25)</f>
        <v>736523100</v>
      </c>
      <c r="K16" s="124">
        <f>SUM(K17:K25)</f>
        <v>707943194</v>
      </c>
    </row>
    <row r="17" spans="1:11" ht="12.75">
      <c r="A17" s="206" t="s">
        <v>176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49482152</v>
      </c>
      <c r="K17" s="7">
        <v>49482153</v>
      </c>
    </row>
    <row r="18" spans="1:11" ht="12.75">
      <c r="A18" s="206" t="s">
        <v>212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291532789</v>
      </c>
      <c r="K18" s="7">
        <v>276722239</v>
      </c>
    </row>
    <row r="19" spans="1:11" ht="12.75">
      <c r="A19" s="206" t="s">
        <v>177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322709000</v>
      </c>
      <c r="K19" s="7">
        <v>306822635</v>
      </c>
    </row>
    <row r="20" spans="1:11" ht="12.75">
      <c r="A20" s="206" t="s">
        <v>21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13526223</v>
      </c>
      <c r="K20" s="7">
        <v>15626648</v>
      </c>
    </row>
    <row r="21" spans="1:11" ht="12.75">
      <c r="A21" s="206" t="s">
        <v>22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48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3020898</v>
      </c>
      <c r="K22" s="7">
        <v>3352925</v>
      </c>
    </row>
    <row r="23" spans="1:11" ht="12.75">
      <c r="A23" s="206" t="s">
        <v>49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55752053</v>
      </c>
      <c r="K23" s="7">
        <v>55434274</v>
      </c>
    </row>
    <row r="24" spans="1:11" ht="12.75">
      <c r="A24" s="206" t="s">
        <v>50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499985</v>
      </c>
      <c r="K24" s="7">
        <v>502320</v>
      </c>
    </row>
    <row r="25" spans="1:11" ht="12.75">
      <c r="A25" s="206" t="s">
        <v>51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155</v>
      </c>
      <c r="B26" s="207"/>
      <c r="C26" s="207"/>
      <c r="D26" s="207"/>
      <c r="E26" s="207"/>
      <c r="F26" s="207"/>
      <c r="G26" s="207"/>
      <c r="H26" s="208"/>
      <c r="I26" s="1">
        <v>20</v>
      </c>
      <c r="J26" s="124">
        <f>SUM(J27:J34)</f>
        <v>815524</v>
      </c>
      <c r="K26" s="124">
        <f>SUM(K27:K34)</f>
        <v>653554</v>
      </c>
    </row>
    <row r="27" spans="1:11" ht="12.75">
      <c r="A27" s="206" t="s">
        <v>52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/>
      <c r="K27" s="7"/>
    </row>
    <row r="28" spans="1:11" ht="12.75">
      <c r="A28" s="206" t="s">
        <v>53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54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7537</v>
      </c>
      <c r="K29" s="7">
        <v>7537</v>
      </c>
    </row>
    <row r="30" spans="1:11" ht="12.75">
      <c r="A30" s="206" t="s">
        <v>59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60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/>
      <c r="K31" s="7"/>
    </row>
    <row r="32" spans="1:11" ht="12.75">
      <c r="A32" s="206" t="s">
        <v>61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/>
      <c r="K32" s="7"/>
    </row>
    <row r="33" spans="1:11" ht="12.75">
      <c r="A33" s="206" t="s">
        <v>55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>
        <v>807987</v>
      </c>
      <c r="K33" s="7">
        <v>646017</v>
      </c>
    </row>
    <row r="34" spans="1:11" ht="12.75">
      <c r="A34" s="206" t="s">
        <v>148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149</v>
      </c>
      <c r="B35" s="207"/>
      <c r="C35" s="207"/>
      <c r="D35" s="207"/>
      <c r="E35" s="207"/>
      <c r="F35" s="207"/>
      <c r="G35" s="207"/>
      <c r="H35" s="208"/>
      <c r="I35" s="1">
        <v>29</v>
      </c>
      <c r="J35" s="124">
        <f>SUM(J36:J38)</f>
        <v>125203</v>
      </c>
      <c r="K35" s="124">
        <f>SUM(K36:K38)</f>
        <v>407764</v>
      </c>
    </row>
    <row r="36" spans="1:11" ht="12.75">
      <c r="A36" s="206" t="s">
        <v>56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57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58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125203</v>
      </c>
      <c r="K38" s="7">
        <v>407764</v>
      </c>
    </row>
    <row r="39" spans="1:11" ht="12.75">
      <c r="A39" s="206" t="s">
        <v>150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195" t="s">
        <v>205</v>
      </c>
      <c r="B40" s="196"/>
      <c r="C40" s="196"/>
      <c r="D40" s="196"/>
      <c r="E40" s="196"/>
      <c r="F40" s="196"/>
      <c r="G40" s="196"/>
      <c r="H40" s="197"/>
      <c r="I40" s="1">
        <v>34</v>
      </c>
      <c r="J40" s="124">
        <f>J41+J49+J56+J64</f>
        <v>1184010885</v>
      </c>
      <c r="K40" s="124">
        <f>K41+K49+K56+K64</f>
        <v>877327816</v>
      </c>
    </row>
    <row r="41" spans="1:11" ht="12.75">
      <c r="A41" s="206" t="s">
        <v>76</v>
      </c>
      <c r="B41" s="207"/>
      <c r="C41" s="207"/>
      <c r="D41" s="207"/>
      <c r="E41" s="207"/>
      <c r="F41" s="207"/>
      <c r="G41" s="207"/>
      <c r="H41" s="208"/>
      <c r="I41" s="1">
        <v>35</v>
      </c>
      <c r="J41" s="124">
        <f>SUM(J42:J48)</f>
        <v>663118778</v>
      </c>
      <c r="K41" s="124">
        <f>SUM(K42:K48)</f>
        <v>448552342</v>
      </c>
    </row>
    <row r="42" spans="1:11" ht="12.75">
      <c r="A42" s="206" t="s">
        <v>91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251954508</v>
      </c>
      <c r="K42" s="7">
        <v>208306972</v>
      </c>
    </row>
    <row r="43" spans="1:11" ht="12.75">
      <c r="A43" s="206" t="s">
        <v>92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70216160</v>
      </c>
      <c r="K43" s="7">
        <v>42595846</v>
      </c>
    </row>
    <row r="44" spans="1:11" ht="12.75">
      <c r="A44" s="206" t="s">
        <v>62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333852838</v>
      </c>
      <c r="K44" s="7">
        <v>194190474</v>
      </c>
    </row>
    <row r="45" spans="1:11" ht="12.75">
      <c r="A45" s="206" t="s">
        <v>63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5141432</v>
      </c>
      <c r="K45" s="7">
        <v>1237523</v>
      </c>
    </row>
    <row r="46" spans="1:11" ht="12.75">
      <c r="A46" s="206" t="s">
        <v>64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1953840</v>
      </c>
      <c r="K46" s="7">
        <v>2221527</v>
      </c>
    </row>
    <row r="47" spans="1:11" ht="12.75">
      <c r="A47" s="206" t="s">
        <v>65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66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77</v>
      </c>
      <c r="B49" s="207"/>
      <c r="C49" s="207"/>
      <c r="D49" s="207"/>
      <c r="E49" s="207"/>
      <c r="F49" s="207"/>
      <c r="G49" s="207"/>
      <c r="H49" s="208"/>
      <c r="I49" s="1">
        <v>43</v>
      </c>
      <c r="J49" s="124">
        <f>SUM(J50:J55)</f>
        <v>453135176</v>
      </c>
      <c r="K49" s="124">
        <f>SUM(K50:K55)</f>
        <v>383087157</v>
      </c>
    </row>
    <row r="50" spans="1:11" ht="12.75">
      <c r="A50" s="206" t="s">
        <v>165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/>
      <c r="K50" s="7"/>
    </row>
    <row r="51" spans="1:11" ht="12.75">
      <c r="A51" s="206" t="s">
        <v>166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152077790</v>
      </c>
      <c r="K51" s="7">
        <v>185168208</v>
      </c>
    </row>
    <row r="52" spans="1:11" ht="12.75">
      <c r="A52" s="206" t="s">
        <v>167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168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56426</v>
      </c>
      <c r="K53" s="7">
        <v>35289</v>
      </c>
    </row>
    <row r="54" spans="1:11" ht="12.75">
      <c r="A54" s="206" t="s">
        <v>7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72517668</v>
      </c>
      <c r="K54" s="7">
        <v>71782384</v>
      </c>
    </row>
    <row r="55" spans="1:11" ht="12.75">
      <c r="A55" s="206" t="s">
        <v>8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228483292</v>
      </c>
      <c r="K55" s="7">
        <v>126101276</v>
      </c>
    </row>
    <row r="56" spans="1:11" ht="12.75">
      <c r="A56" s="206" t="s">
        <v>78</v>
      </c>
      <c r="B56" s="207"/>
      <c r="C56" s="207"/>
      <c r="D56" s="207"/>
      <c r="E56" s="207"/>
      <c r="F56" s="207"/>
      <c r="G56" s="207"/>
      <c r="H56" s="208"/>
      <c r="I56" s="1">
        <v>50</v>
      </c>
      <c r="J56" s="124">
        <f>SUM(J57:J63)</f>
        <v>50266588</v>
      </c>
      <c r="K56" s="124">
        <f>SUM(K57:K63)</f>
        <v>23865771</v>
      </c>
    </row>
    <row r="57" spans="1:11" ht="12.75">
      <c r="A57" s="206" t="s">
        <v>52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53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>
      <c r="A59" s="206" t="s">
        <v>207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>
        <v>11552010</v>
      </c>
      <c r="K59" s="7">
        <v>12838576</v>
      </c>
    </row>
    <row r="60" spans="1:11" ht="12.75">
      <c r="A60" s="206" t="s">
        <v>59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60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5545769</v>
      </c>
      <c r="K61" s="7">
        <v>4422218</v>
      </c>
    </row>
    <row r="62" spans="1:11" ht="12.75">
      <c r="A62" s="206" t="s">
        <v>61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33168809</v>
      </c>
      <c r="K62" s="7">
        <v>6604977</v>
      </c>
    </row>
    <row r="63" spans="1:11" ht="12.75">
      <c r="A63" s="206" t="s">
        <v>31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172</v>
      </c>
      <c r="B64" s="207"/>
      <c r="C64" s="207"/>
      <c r="D64" s="207"/>
      <c r="E64" s="207"/>
      <c r="F64" s="207"/>
      <c r="G64" s="207"/>
      <c r="H64" s="208"/>
      <c r="I64" s="1">
        <v>58</v>
      </c>
      <c r="J64" s="119">
        <v>17490343</v>
      </c>
      <c r="K64" s="119">
        <v>21822546</v>
      </c>
    </row>
    <row r="65" spans="1:11" ht="12.75">
      <c r="A65" s="195" t="s">
        <v>36</v>
      </c>
      <c r="B65" s="196"/>
      <c r="C65" s="196"/>
      <c r="D65" s="196"/>
      <c r="E65" s="196"/>
      <c r="F65" s="196"/>
      <c r="G65" s="196"/>
      <c r="H65" s="197"/>
      <c r="I65" s="1">
        <v>59</v>
      </c>
      <c r="J65" s="119">
        <v>2709319</v>
      </c>
      <c r="K65" s="119">
        <v>12550972</v>
      </c>
    </row>
    <row r="66" spans="1:11" ht="12.75">
      <c r="A66" s="195" t="s">
        <v>206</v>
      </c>
      <c r="B66" s="196"/>
      <c r="C66" s="196"/>
      <c r="D66" s="196"/>
      <c r="E66" s="196"/>
      <c r="F66" s="196"/>
      <c r="G66" s="196"/>
      <c r="H66" s="197"/>
      <c r="I66" s="1">
        <v>60</v>
      </c>
      <c r="J66" s="124">
        <f>J7+J8+J40+J65</f>
        <v>1935769837</v>
      </c>
      <c r="K66" s="117">
        <f>K7+K8+K40+K65</f>
        <v>1609670424</v>
      </c>
    </row>
    <row r="67" spans="1:11" ht="12.75">
      <c r="A67" s="209" t="s">
        <v>67</v>
      </c>
      <c r="B67" s="210"/>
      <c r="C67" s="210"/>
      <c r="D67" s="210"/>
      <c r="E67" s="210"/>
      <c r="F67" s="210"/>
      <c r="G67" s="210"/>
      <c r="H67" s="211"/>
      <c r="I67" s="4">
        <v>61</v>
      </c>
      <c r="J67" s="8">
        <v>297989133</v>
      </c>
      <c r="K67" s="8">
        <v>513934610</v>
      </c>
    </row>
    <row r="68" spans="1:11" ht="12.75">
      <c r="A68" s="212" t="s">
        <v>38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192" t="s">
        <v>156</v>
      </c>
      <c r="B69" s="193"/>
      <c r="C69" s="193"/>
      <c r="D69" s="193"/>
      <c r="E69" s="193"/>
      <c r="F69" s="193"/>
      <c r="G69" s="193"/>
      <c r="H69" s="194"/>
      <c r="I69" s="3">
        <v>62</v>
      </c>
      <c r="J69" s="125">
        <f>J70+J71+J72+J78+J79+J82+J85</f>
        <v>584299328</v>
      </c>
      <c r="K69" s="125">
        <f>K70+K71+K72+K78+K79+K82+K85</f>
        <v>439342611</v>
      </c>
    </row>
    <row r="70" spans="1:11" ht="12.75">
      <c r="A70" s="206" t="s">
        <v>115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902101590</v>
      </c>
      <c r="K70" s="7">
        <v>754195990</v>
      </c>
    </row>
    <row r="71" spans="1:11" ht="12.75">
      <c r="A71" s="206" t="s">
        <v>116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/>
      <c r="K71" s="7"/>
    </row>
    <row r="72" spans="1:11" ht="12.75">
      <c r="A72" s="206" t="s">
        <v>117</v>
      </c>
      <c r="B72" s="207"/>
      <c r="C72" s="207"/>
      <c r="D72" s="207"/>
      <c r="E72" s="207"/>
      <c r="F72" s="207"/>
      <c r="G72" s="207"/>
      <c r="H72" s="208"/>
      <c r="I72" s="1">
        <v>65</v>
      </c>
      <c r="J72" s="124">
        <f>J73+J74-J75+J76+J77</f>
        <v>0</v>
      </c>
      <c r="K72" s="124">
        <f>K73+K74-K75+K76+K77</f>
        <v>9947755</v>
      </c>
    </row>
    <row r="73" spans="1:11" ht="12.75">
      <c r="A73" s="206" t="s">
        <v>118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/>
      <c r="K73" s="7"/>
    </row>
    <row r="74" spans="1:11" ht="12.75">
      <c r="A74" s="206" t="s">
        <v>119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/>
      <c r="K74" s="7"/>
    </row>
    <row r="75" spans="1:11" ht="12.75">
      <c r="A75" s="206" t="s">
        <v>107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/>
    </row>
    <row r="76" spans="1:11" ht="12.75">
      <c r="A76" s="206" t="s">
        <v>108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109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/>
      <c r="K77" s="7">
        <v>9947755</v>
      </c>
    </row>
    <row r="78" spans="1:11" ht="12.75">
      <c r="A78" s="206" t="s">
        <v>110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/>
      <c r="K78" s="7"/>
    </row>
    <row r="79" spans="1:11" ht="12.75">
      <c r="A79" s="206" t="s">
        <v>203</v>
      </c>
      <c r="B79" s="207"/>
      <c r="C79" s="207"/>
      <c r="D79" s="207"/>
      <c r="E79" s="207"/>
      <c r="F79" s="207"/>
      <c r="G79" s="207"/>
      <c r="H79" s="208"/>
      <c r="I79" s="1">
        <v>72</v>
      </c>
      <c r="J79" s="124">
        <f>J80-J81</f>
        <v>-138286230</v>
      </c>
      <c r="K79" s="124">
        <f>K80-K81</f>
        <v>1796539</v>
      </c>
    </row>
    <row r="80" spans="1:11" ht="12.75">
      <c r="A80" s="215" t="s">
        <v>139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565720</v>
      </c>
      <c r="K80" s="7">
        <v>3648612</v>
      </c>
    </row>
    <row r="81" spans="1:11" ht="12.75">
      <c r="A81" s="215" t="s">
        <v>140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138851950</v>
      </c>
      <c r="K81" s="7">
        <v>1852073</v>
      </c>
    </row>
    <row r="82" spans="1:11" ht="12.75">
      <c r="A82" s="206" t="s">
        <v>204</v>
      </c>
      <c r="B82" s="207"/>
      <c r="C82" s="207"/>
      <c r="D82" s="207"/>
      <c r="E82" s="207"/>
      <c r="F82" s="207"/>
      <c r="G82" s="207"/>
      <c r="H82" s="208"/>
      <c r="I82" s="1">
        <v>75</v>
      </c>
      <c r="J82" s="124">
        <f>J83-J84</f>
        <v>-184491370</v>
      </c>
      <c r="K82" s="124">
        <f>K83-K84</f>
        <v>-331008734</v>
      </c>
    </row>
    <row r="83" spans="1:11" ht="12.75">
      <c r="A83" s="215" t="s">
        <v>141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/>
    </row>
    <row r="84" spans="1:11" ht="12.75">
      <c r="A84" s="215" t="s">
        <v>142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184491370</v>
      </c>
      <c r="K84" s="7">
        <v>331008734</v>
      </c>
    </row>
    <row r="85" spans="1:11" ht="12.75">
      <c r="A85" s="206" t="s">
        <v>143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4975338</v>
      </c>
      <c r="K85" s="7">
        <v>4411061</v>
      </c>
    </row>
    <row r="86" spans="1:11" ht="12.75">
      <c r="A86" s="195" t="s">
        <v>13</v>
      </c>
      <c r="B86" s="196"/>
      <c r="C86" s="196"/>
      <c r="D86" s="196"/>
      <c r="E86" s="196"/>
      <c r="F86" s="196"/>
      <c r="G86" s="196"/>
      <c r="H86" s="197"/>
      <c r="I86" s="1">
        <v>79</v>
      </c>
      <c r="J86" s="124">
        <f>SUM(J87:J89)</f>
        <v>15094519</v>
      </c>
      <c r="K86" s="124">
        <f>SUM(K87:K89)</f>
        <v>13444171</v>
      </c>
    </row>
    <row r="87" spans="1:11" ht="12.75">
      <c r="A87" s="206" t="s">
        <v>103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13126437</v>
      </c>
      <c r="K87" s="7">
        <v>11854385</v>
      </c>
    </row>
    <row r="88" spans="1:11" ht="12.75">
      <c r="A88" s="206" t="s">
        <v>104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105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1968082</v>
      </c>
      <c r="K89" s="7">
        <v>1589786</v>
      </c>
    </row>
    <row r="90" spans="1:11" ht="12.75">
      <c r="A90" s="195" t="s">
        <v>14</v>
      </c>
      <c r="B90" s="196"/>
      <c r="C90" s="196"/>
      <c r="D90" s="196"/>
      <c r="E90" s="196"/>
      <c r="F90" s="196"/>
      <c r="G90" s="196"/>
      <c r="H90" s="197"/>
      <c r="I90" s="1">
        <v>83</v>
      </c>
      <c r="J90" s="124">
        <f>SUM(J91:J99)</f>
        <v>123333333</v>
      </c>
      <c r="K90" s="124">
        <f>SUM(K91:K99)</f>
        <v>63460181</v>
      </c>
    </row>
    <row r="91" spans="1:11" ht="12.75">
      <c r="A91" s="206" t="s">
        <v>106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208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123333333</v>
      </c>
      <c r="K93" s="7">
        <v>63460181</v>
      </c>
    </row>
    <row r="94" spans="1:11" ht="12.75">
      <c r="A94" s="206" t="s">
        <v>209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210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211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70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68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69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195" t="s">
        <v>15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124">
        <f>SUM(J101:J112)</f>
        <v>1209069277</v>
      </c>
      <c r="K100" s="124">
        <f>SUM(K101:K112)</f>
        <v>1074600591</v>
      </c>
    </row>
    <row r="101" spans="1:11" ht="12.75">
      <c r="A101" s="206" t="s">
        <v>106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/>
      <c r="K101" s="7"/>
    </row>
    <row r="102" spans="1:11" ht="12.75">
      <c r="A102" s="206" t="s">
        <v>208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4500000</v>
      </c>
      <c r="K102" s="7">
        <v>64427181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323166667</v>
      </c>
      <c r="K103" s="7">
        <v>362388889</v>
      </c>
    </row>
    <row r="104" spans="1:11" ht="12.75">
      <c r="A104" s="206" t="s">
        <v>209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61023431</v>
      </c>
      <c r="K104" s="7">
        <v>108333045</v>
      </c>
    </row>
    <row r="105" spans="1:11" ht="12.75">
      <c r="A105" s="206" t="s">
        <v>210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485963926</v>
      </c>
      <c r="K105" s="7">
        <v>285051763</v>
      </c>
    </row>
    <row r="106" spans="1:11" ht="12.75">
      <c r="A106" s="206" t="s">
        <v>211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82000000</v>
      </c>
      <c r="K106" s="7">
        <v>91833225</v>
      </c>
    </row>
    <row r="107" spans="1:11" ht="12.75">
      <c r="A107" s="206" t="s">
        <v>70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71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14247067</v>
      </c>
      <c r="K108" s="7">
        <v>14488053</v>
      </c>
    </row>
    <row r="109" spans="1:11" ht="12.75">
      <c r="A109" s="206" t="s">
        <v>72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12447592</v>
      </c>
      <c r="K109" s="7">
        <v>21552913</v>
      </c>
    </row>
    <row r="110" spans="1:11" ht="12.75">
      <c r="A110" s="206" t="s">
        <v>75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.75">
      <c r="A111" s="206" t="s">
        <v>73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74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225720594</v>
      </c>
      <c r="K112" s="7">
        <v>126525522</v>
      </c>
    </row>
    <row r="113" spans="1:11" ht="12.75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119">
        <v>3973380</v>
      </c>
      <c r="K113" s="119">
        <v>18822870</v>
      </c>
    </row>
    <row r="114" spans="1:11" ht="12.75">
      <c r="A114" s="195" t="s">
        <v>19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124">
        <f>J69+J86+J90+J100+J113</f>
        <v>1935769837</v>
      </c>
      <c r="K114" s="124">
        <f>K69+K86+K90+K100+K113</f>
        <v>1609670424</v>
      </c>
    </row>
    <row r="115" spans="1:11" ht="12.75">
      <c r="A115" s="220" t="s">
        <v>37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>
        <v>297989133</v>
      </c>
      <c r="K115" s="8">
        <v>513934610</v>
      </c>
    </row>
    <row r="116" spans="1:11" ht="12.75">
      <c r="A116" s="212" t="s">
        <v>273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192" t="s">
        <v>151</v>
      </c>
      <c r="B117" s="193"/>
      <c r="C117" s="193"/>
      <c r="D117" s="193"/>
      <c r="E117" s="193"/>
      <c r="F117" s="193"/>
      <c r="G117" s="193"/>
      <c r="H117" s="193"/>
      <c r="I117" s="226"/>
      <c r="J117" s="226"/>
      <c r="K117" s="227"/>
    </row>
    <row r="118" spans="1:11" ht="12.75">
      <c r="A118" s="206" t="s">
        <v>5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>
        <v>579323990</v>
      </c>
      <c r="K118" s="7">
        <v>434931550</v>
      </c>
    </row>
    <row r="119" spans="1:11" ht="12.75">
      <c r="A119" s="228" t="s">
        <v>6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>
        <v>4975338</v>
      </c>
      <c r="K119" s="8">
        <v>4411061</v>
      </c>
    </row>
    <row r="120" spans="1:11" ht="12.75">
      <c r="A120" s="231" t="s">
        <v>274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86:K115 J70:K70 J7:K67">
      <formula1>0</formula1>
    </dataValidation>
  </dataValidations>
  <printOptions/>
  <pageMargins left="0.75" right="0.35" top="0.79" bottom="0.49" header="0.5" footer="0.3"/>
  <pageSetup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43">
      <selection activeCell="G43" sqref="G43"/>
    </sheetView>
  </sheetViews>
  <sheetFormatPr defaultColWidth="9.140625" defaultRowHeight="12.75"/>
  <cols>
    <col min="1" max="1" width="9.140625" style="50" customWidth="1"/>
    <col min="2" max="2" width="8.28125" style="50" customWidth="1"/>
    <col min="3" max="3" width="8.7109375" style="50" customWidth="1"/>
    <col min="4" max="4" width="5.8515625" style="50" customWidth="1"/>
    <col min="5" max="5" width="6.28125" style="50" customWidth="1"/>
    <col min="6" max="6" width="5.57421875" style="50" customWidth="1"/>
    <col min="7" max="7" width="4.7109375" style="50" customWidth="1"/>
    <col min="8" max="8" width="3.28125" style="50" customWidth="1"/>
    <col min="9" max="9" width="6.28125" style="50" customWidth="1"/>
    <col min="10" max="13" width="11.8515625" style="50" customWidth="1"/>
    <col min="14" max="16384" width="9.140625" style="50" customWidth="1"/>
  </cols>
  <sheetData>
    <row r="1" spans="1:13" ht="20.25" customHeight="1">
      <c r="A1" s="198" t="s">
        <v>128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8" customHeight="1">
      <c r="A2" s="243" t="s">
        <v>318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33" t="s">
        <v>309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34.5">
      <c r="A4" s="234" t="s">
        <v>39</v>
      </c>
      <c r="B4" s="234"/>
      <c r="C4" s="234"/>
      <c r="D4" s="234"/>
      <c r="E4" s="234"/>
      <c r="F4" s="234"/>
      <c r="G4" s="234"/>
      <c r="H4" s="234"/>
      <c r="I4" s="55" t="s">
        <v>244</v>
      </c>
      <c r="J4" s="235" t="s">
        <v>281</v>
      </c>
      <c r="K4" s="235"/>
      <c r="L4" s="235" t="s">
        <v>282</v>
      </c>
      <c r="M4" s="235"/>
    </row>
    <row r="5" spans="1:13" ht="12.75">
      <c r="A5" s="234"/>
      <c r="B5" s="234"/>
      <c r="C5" s="234"/>
      <c r="D5" s="234"/>
      <c r="E5" s="234"/>
      <c r="F5" s="234"/>
      <c r="G5" s="234"/>
      <c r="H5" s="234"/>
      <c r="I5" s="55"/>
      <c r="J5" s="57" t="s">
        <v>277</v>
      </c>
      <c r="K5" s="57" t="s">
        <v>278</v>
      </c>
      <c r="L5" s="57" t="s">
        <v>277</v>
      </c>
      <c r="M5" s="57" t="s">
        <v>278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2" t="s">
        <v>20</v>
      </c>
      <c r="B7" s="193"/>
      <c r="C7" s="193"/>
      <c r="D7" s="193"/>
      <c r="E7" s="193"/>
      <c r="F7" s="193"/>
      <c r="G7" s="193"/>
      <c r="H7" s="194"/>
      <c r="I7" s="3">
        <v>111</v>
      </c>
      <c r="J7" s="118">
        <f>SUM(J8:J9)</f>
        <v>3021959070</v>
      </c>
      <c r="K7" s="118">
        <f>SUM(K8:K9)</f>
        <v>911546534</v>
      </c>
      <c r="L7" s="118">
        <f>SUM(L8:L9)</f>
        <v>2565691349</v>
      </c>
      <c r="M7" s="118">
        <f>SUM(M8:M9)</f>
        <v>707364938</v>
      </c>
    </row>
    <row r="8" spans="1:13" ht="12.75">
      <c r="A8" s="195" t="s">
        <v>126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2955393778</v>
      </c>
      <c r="K8" s="7">
        <f>J8-2072281733</f>
        <v>883112045</v>
      </c>
      <c r="L8" s="7">
        <v>2517938723</v>
      </c>
      <c r="M8" s="7">
        <f>L8-1825618496</f>
        <v>692320227</v>
      </c>
    </row>
    <row r="9" spans="1:13" ht="12.75">
      <c r="A9" s="195" t="s">
        <v>79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66565292</v>
      </c>
      <c r="K9" s="7">
        <f>J9-38130803</f>
        <v>28434489</v>
      </c>
      <c r="L9" s="7">
        <v>47752626</v>
      </c>
      <c r="M9" s="7">
        <f>L9-32707915</f>
        <v>15044711</v>
      </c>
    </row>
    <row r="10" spans="1:13" ht="12.75">
      <c r="A10" s="195" t="s">
        <v>9</v>
      </c>
      <c r="B10" s="196"/>
      <c r="C10" s="196"/>
      <c r="D10" s="196"/>
      <c r="E10" s="196"/>
      <c r="F10" s="196"/>
      <c r="G10" s="196"/>
      <c r="H10" s="197"/>
      <c r="I10" s="1">
        <v>114</v>
      </c>
      <c r="J10" s="117">
        <f>J11+J12+J16+J20+J21+J22+J25+J26</f>
        <v>3186439177</v>
      </c>
      <c r="K10" s="117">
        <f>K11+K12+K16+K20+K21+K22+K25+K26</f>
        <v>952991757</v>
      </c>
      <c r="L10" s="117">
        <f>L11+L12+L16+L20+L21+L22+L25+L26</f>
        <v>2865633247</v>
      </c>
      <c r="M10" s="117">
        <f>M11+M12+M16+M20+M21+M22+M25+M26</f>
        <v>842006084</v>
      </c>
    </row>
    <row r="11" spans="1:13" ht="16.5" customHeight="1">
      <c r="A11" s="195" t="s">
        <v>80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>
        <v>-66873283</v>
      </c>
      <c r="K11" s="7">
        <f>J11-(-57571500)</f>
        <v>-9301783</v>
      </c>
      <c r="L11" s="7">
        <v>170888173</v>
      </c>
      <c r="M11" s="7">
        <f>L11-(-16118180)</f>
        <v>187006353</v>
      </c>
    </row>
    <row r="12" spans="1:13" ht="12.75">
      <c r="A12" s="195" t="s">
        <v>16</v>
      </c>
      <c r="B12" s="196"/>
      <c r="C12" s="196"/>
      <c r="D12" s="196"/>
      <c r="E12" s="196"/>
      <c r="F12" s="196"/>
      <c r="G12" s="196"/>
      <c r="H12" s="197"/>
      <c r="I12" s="1">
        <v>116</v>
      </c>
      <c r="J12" s="117">
        <f>SUM(J13:J15)</f>
        <v>2799341706</v>
      </c>
      <c r="K12" s="117">
        <f>SUM(K13:K15)</f>
        <v>829976334</v>
      </c>
      <c r="L12" s="117">
        <f>SUM(L13:L15)</f>
        <v>2223199894</v>
      </c>
      <c r="M12" s="117">
        <f>SUM(M13:M15)</f>
        <v>504345623</v>
      </c>
    </row>
    <row r="13" spans="1:13" ht="12.75">
      <c r="A13" s="206" t="s">
        <v>120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2664773523</v>
      </c>
      <c r="K13" s="7">
        <f>J13-1879191880</f>
        <v>785581643</v>
      </c>
      <c r="L13" s="7">
        <v>2114120585</v>
      </c>
      <c r="M13" s="7">
        <f>L13-1649564674</f>
        <v>464555911</v>
      </c>
    </row>
    <row r="14" spans="1:13" ht="12.75">
      <c r="A14" s="206" t="s">
        <v>121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45213593</v>
      </c>
      <c r="K14" s="7">
        <f>J14-22580407</f>
        <v>22633186</v>
      </c>
      <c r="L14" s="7">
        <v>28445243</v>
      </c>
      <c r="M14" s="7">
        <f>L14-12219351</f>
        <v>16225892</v>
      </c>
    </row>
    <row r="15" spans="1:13" ht="12.75">
      <c r="A15" s="206" t="s">
        <v>41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89354590</v>
      </c>
      <c r="K15" s="7">
        <f>J15-67593085</f>
        <v>21761505</v>
      </c>
      <c r="L15" s="7">
        <v>80634066</v>
      </c>
      <c r="M15" s="7">
        <f>L15-57070246</f>
        <v>23563820</v>
      </c>
    </row>
    <row r="16" spans="1:13" ht="12.75">
      <c r="A16" s="195" t="s">
        <v>17</v>
      </c>
      <c r="B16" s="196"/>
      <c r="C16" s="196"/>
      <c r="D16" s="196"/>
      <c r="E16" s="196"/>
      <c r="F16" s="196"/>
      <c r="G16" s="196"/>
      <c r="H16" s="197"/>
      <c r="I16" s="1">
        <v>120</v>
      </c>
      <c r="J16" s="117">
        <f>SUM(J17:J19)</f>
        <v>242951099</v>
      </c>
      <c r="K16" s="117">
        <f>SUM(K17:K19)</f>
        <v>55981379</v>
      </c>
      <c r="L16" s="117">
        <f>SUM(L17:L19)</f>
        <v>249671415</v>
      </c>
      <c r="M16" s="117">
        <f>SUM(M17:M19)</f>
        <v>63537430</v>
      </c>
    </row>
    <row r="17" spans="1:13" ht="12.75">
      <c r="A17" s="206" t="s">
        <v>42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153851618</v>
      </c>
      <c r="K17" s="7">
        <f>J17-118066869</f>
        <v>35784749</v>
      </c>
      <c r="L17" s="7">
        <v>158418892</v>
      </c>
      <c r="M17" s="7">
        <f>L17-118118904</f>
        <v>40299988</v>
      </c>
    </row>
    <row r="18" spans="1:13" ht="12.75">
      <c r="A18" s="206" t="s">
        <v>43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55948237</v>
      </c>
      <c r="K18" s="7">
        <f>J18-43049940</f>
        <v>12898297</v>
      </c>
      <c r="L18" s="7">
        <v>58353927</v>
      </c>
      <c r="M18" s="7">
        <f>L18-43489950</f>
        <v>14863977</v>
      </c>
    </row>
    <row r="19" spans="1:13" ht="12.75">
      <c r="A19" s="206" t="s">
        <v>44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33151244</v>
      </c>
      <c r="K19" s="7">
        <f>J19-25852911</f>
        <v>7298333</v>
      </c>
      <c r="L19" s="7">
        <v>32898596</v>
      </c>
      <c r="M19" s="7">
        <f>L19-24525131</f>
        <v>8373465</v>
      </c>
    </row>
    <row r="20" spans="1:13" ht="12.75">
      <c r="A20" s="195" t="s">
        <v>81</v>
      </c>
      <c r="B20" s="196"/>
      <c r="C20" s="196"/>
      <c r="D20" s="196"/>
      <c r="E20" s="196"/>
      <c r="F20" s="196"/>
      <c r="G20" s="196"/>
      <c r="H20" s="197"/>
      <c r="I20" s="1">
        <v>124</v>
      </c>
      <c r="J20" s="119">
        <v>99765978</v>
      </c>
      <c r="K20" s="119">
        <f>J20-76700871</f>
        <v>23065107</v>
      </c>
      <c r="L20" s="119">
        <v>96483482</v>
      </c>
      <c r="M20" s="119">
        <f>L20-73291840</f>
        <v>23191642</v>
      </c>
    </row>
    <row r="21" spans="1:13" ht="12.75">
      <c r="A21" s="195" t="s">
        <v>82</v>
      </c>
      <c r="B21" s="196"/>
      <c r="C21" s="196"/>
      <c r="D21" s="196"/>
      <c r="E21" s="196"/>
      <c r="F21" s="196"/>
      <c r="G21" s="196"/>
      <c r="H21" s="197"/>
      <c r="I21" s="1">
        <v>125</v>
      </c>
      <c r="J21" s="119">
        <v>82953277</v>
      </c>
      <c r="K21" s="119">
        <f>J21-57804193</f>
        <v>25149084</v>
      </c>
      <c r="L21" s="119">
        <v>116971317</v>
      </c>
      <c r="M21" s="119">
        <f>L21-58282825</f>
        <v>58688492</v>
      </c>
    </row>
    <row r="22" spans="1:13" ht="12.75">
      <c r="A22" s="195" t="s">
        <v>18</v>
      </c>
      <c r="B22" s="196"/>
      <c r="C22" s="196"/>
      <c r="D22" s="196"/>
      <c r="E22" s="196"/>
      <c r="F22" s="196"/>
      <c r="G22" s="196"/>
      <c r="H22" s="197"/>
      <c r="I22" s="1">
        <v>126</v>
      </c>
      <c r="J22" s="117">
        <f>SUM(J23:J24)</f>
        <v>21439019</v>
      </c>
      <c r="K22" s="117">
        <f>SUM(K23:K24)</f>
        <v>21260255</v>
      </c>
      <c r="L22" s="117">
        <f>SUM(L23:L24)</f>
        <v>4442533</v>
      </c>
      <c r="M22" s="117">
        <f>SUM(M23:M24)</f>
        <v>4150966</v>
      </c>
    </row>
    <row r="23" spans="1:13" ht="12.75">
      <c r="A23" s="206" t="s">
        <v>111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>
        <v>12839915</v>
      </c>
      <c r="K23" s="7">
        <f>J23-11811</f>
        <v>12828104</v>
      </c>
      <c r="L23" s="7">
        <v>20318</v>
      </c>
      <c r="M23" s="7">
        <f>L23-16989</f>
        <v>3329</v>
      </c>
    </row>
    <row r="24" spans="1:13" ht="12.75">
      <c r="A24" s="206" t="s">
        <v>112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8599104</v>
      </c>
      <c r="K24" s="7">
        <f>J24-166953</f>
        <v>8432151</v>
      </c>
      <c r="L24" s="7">
        <v>4422215</v>
      </c>
      <c r="M24" s="7">
        <f>L24-274578</f>
        <v>4147637</v>
      </c>
    </row>
    <row r="25" spans="1:13" ht="12.75">
      <c r="A25" s="195" t="s">
        <v>83</v>
      </c>
      <c r="B25" s="196"/>
      <c r="C25" s="196"/>
      <c r="D25" s="196"/>
      <c r="E25" s="196"/>
      <c r="F25" s="196"/>
      <c r="G25" s="196"/>
      <c r="H25" s="197"/>
      <c r="I25" s="1">
        <v>129</v>
      </c>
      <c r="J25" s="119">
        <v>6861381</v>
      </c>
      <c r="K25" s="119">
        <v>6861381</v>
      </c>
      <c r="L25" s="119">
        <v>3976433</v>
      </c>
      <c r="M25" s="119">
        <f>L25-2890855</f>
        <v>1085578</v>
      </c>
    </row>
    <row r="26" spans="1:13" ht="12.75">
      <c r="A26" s="195" t="s">
        <v>35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/>
      <c r="K26" s="7"/>
      <c r="L26" s="7"/>
      <c r="M26" s="7"/>
    </row>
    <row r="27" spans="1:13" ht="12.75">
      <c r="A27" s="195" t="s">
        <v>178</v>
      </c>
      <c r="B27" s="196"/>
      <c r="C27" s="196"/>
      <c r="D27" s="196"/>
      <c r="E27" s="196"/>
      <c r="F27" s="196"/>
      <c r="G27" s="196"/>
      <c r="H27" s="197"/>
      <c r="I27" s="1">
        <v>131</v>
      </c>
      <c r="J27" s="117">
        <f>SUM(J28:J32)</f>
        <v>31740582</v>
      </c>
      <c r="K27" s="117">
        <f>SUM(K28:K32)</f>
        <v>11253449</v>
      </c>
      <c r="L27" s="117">
        <f>SUM(L28:L32)</f>
        <v>18371195</v>
      </c>
      <c r="M27" s="117">
        <f>SUM(M28:M32)</f>
        <v>5163701</v>
      </c>
    </row>
    <row r="28" spans="1:13" ht="21.75" customHeight="1">
      <c r="A28" s="195" t="s">
        <v>192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/>
      <c r="K28" s="7"/>
      <c r="L28" s="7">
        <v>102016</v>
      </c>
      <c r="M28" s="7">
        <v>102016</v>
      </c>
    </row>
    <row r="29" spans="1:13" ht="21" customHeight="1">
      <c r="A29" s="195" t="s">
        <v>129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27562401</v>
      </c>
      <c r="K29" s="7">
        <f>J29-19647687</f>
        <v>7914714</v>
      </c>
      <c r="L29" s="7">
        <v>18269179</v>
      </c>
      <c r="M29" s="7">
        <f>L29-13207494</f>
        <v>5061685</v>
      </c>
    </row>
    <row r="30" spans="1:13" ht="17.25" customHeight="1">
      <c r="A30" s="195" t="s">
        <v>113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/>
      <c r="K30" s="7"/>
      <c r="L30" s="7"/>
      <c r="M30" s="7"/>
    </row>
    <row r="31" spans="1:13" ht="12.75">
      <c r="A31" s="195" t="s">
        <v>188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>
        <v>4178181</v>
      </c>
      <c r="K31" s="7">
        <f>J31-839446</f>
        <v>3338735</v>
      </c>
      <c r="L31" s="7"/>
      <c r="M31" s="7"/>
    </row>
    <row r="32" spans="1:13" ht="12.75">
      <c r="A32" s="195" t="s">
        <v>114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/>
      <c r="K32" s="7"/>
      <c r="L32" s="7"/>
      <c r="M32" s="7"/>
    </row>
    <row r="33" spans="1:13" ht="12.75">
      <c r="A33" s="195" t="s">
        <v>179</v>
      </c>
      <c r="B33" s="196"/>
      <c r="C33" s="196"/>
      <c r="D33" s="196"/>
      <c r="E33" s="196"/>
      <c r="F33" s="196"/>
      <c r="G33" s="196"/>
      <c r="H33" s="197"/>
      <c r="I33" s="1">
        <v>137</v>
      </c>
      <c r="J33" s="117">
        <f>SUM(J34:J37)</f>
        <v>51924555</v>
      </c>
      <c r="K33" s="117">
        <f>SUM(K34:K37)</f>
        <v>13305949</v>
      </c>
      <c r="L33" s="117">
        <f>SUM(L34:L37)</f>
        <v>49161304</v>
      </c>
      <c r="M33" s="117">
        <f>SUM(M34:M37)</f>
        <v>10612296</v>
      </c>
    </row>
    <row r="34" spans="1:13" ht="18" customHeight="1">
      <c r="A34" s="195" t="s">
        <v>46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/>
      <c r="K34" s="7"/>
      <c r="L34" s="7"/>
      <c r="M34" s="7"/>
    </row>
    <row r="35" spans="1:13" ht="21.75" customHeight="1">
      <c r="A35" s="195" t="s">
        <v>45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51924555</v>
      </c>
      <c r="K35" s="7">
        <f>J35-38618606</f>
        <v>13305949</v>
      </c>
      <c r="L35" s="7">
        <v>47462252</v>
      </c>
      <c r="M35" s="7">
        <f>L35-36963438</f>
        <v>10498814</v>
      </c>
    </row>
    <row r="36" spans="1:13" ht="16.5" customHeight="1">
      <c r="A36" s="195" t="s">
        <v>189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/>
      <c r="K36" s="7"/>
      <c r="L36" s="7">
        <v>1699052</v>
      </c>
      <c r="M36" s="7">
        <f>L36-1585570</f>
        <v>113482</v>
      </c>
    </row>
    <row r="37" spans="1:13" ht="12.75">
      <c r="A37" s="195" t="s">
        <v>47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/>
      <c r="K37" s="7"/>
      <c r="L37" s="7"/>
      <c r="M37" s="7"/>
    </row>
    <row r="38" spans="1:13" ht="12.75">
      <c r="A38" s="195" t="s">
        <v>160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.75">
      <c r="A39" s="195" t="s">
        <v>161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/>
      <c r="K39" s="7"/>
      <c r="L39" s="7"/>
      <c r="M39" s="7"/>
    </row>
    <row r="40" spans="1:13" ht="12.75">
      <c r="A40" s="195" t="s">
        <v>190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.75">
      <c r="A41" s="195" t="s">
        <v>191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>
        <v>1045</v>
      </c>
      <c r="K41" s="7">
        <v>1045</v>
      </c>
      <c r="L41" s="7"/>
      <c r="M41" s="7"/>
    </row>
    <row r="42" spans="1:13" ht="12.75">
      <c r="A42" s="195" t="s">
        <v>180</v>
      </c>
      <c r="B42" s="196"/>
      <c r="C42" s="196"/>
      <c r="D42" s="196"/>
      <c r="E42" s="196"/>
      <c r="F42" s="196"/>
      <c r="G42" s="196"/>
      <c r="H42" s="197"/>
      <c r="I42" s="1">
        <v>146</v>
      </c>
      <c r="J42" s="117">
        <f>J7+J27+J38+J40</f>
        <v>3053699652</v>
      </c>
      <c r="K42" s="117">
        <f>K7+K27+K38+K40</f>
        <v>922799983</v>
      </c>
      <c r="L42" s="117">
        <f>L7+L27+L38+L40</f>
        <v>2584062544</v>
      </c>
      <c r="M42" s="117">
        <f>M7+M27+M38+M40</f>
        <v>712528639</v>
      </c>
    </row>
    <row r="43" spans="1:13" ht="12.75">
      <c r="A43" s="195" t="s">
        <v>181</v>
      </c>
      <c r="B43" s="196"/>
      <c r="C43" s="196"/>
      <c r="D43" s="196"/>
      <c r="E43" s="196"/>
      <c r="F43" s="196"/>
      <c r="G43" s="196"/>
      <c r="H43" s="197"/>
      <c r="I43" s="1">
        <v>147</v>
      </c>
      <c r="J43" s="117">
        <f>J10+J33+J39+J41</f>
        <v>3238364777</v>
      </c>
      <c r="K43" s="117">
        <f>K10+K33+K39+K41</f>
        <v>966298751</v>
      </c>
      <c r="L43" s="117">
        <f>L10+L33+L39+L41</f>
        <v>2914794551</v>
      </c>
      <c r="M43" s="117">
        <f>M10+M33+M39+M41</f>
        <v>852618380</v>
      </c>
    </row>
    <row r="44" spans="1:13" ht="12.75">
      <c r="A44" s="195" t="s">
        <v>201</v>
      </c>
      <c r="B44" s="196"/>
      <c r="C44" s="196"/>
      <c r="D44" s="196"/>
      <c r="E44" s="196"/>
      <c r="F44" s="196"/>
      <c r="G44" s="196"/>
      <c r="H44" s="197"/>
      <c r="I44" s="1">
        <v>148</v>
      </c>
      <c r="J44" s="117">
        <f>J42-J43</f>
        <v>-184665125</v>
      </c>
      <c r="K44" s="117">
        <f>K42-K43</f>
        <v>-43498768</v>
      </c>
      <c r="L44" s="117">
        <f>L42-L43</f>
        <v>-330732007</v>
      </c>
      <c r="M44" s="117">
        <f>M42-M43</f>
        <v>-140089741</v>
      </c>
    </row>
    <row r="45" spans="1:13" ht="12.75">
      <c r="A45" s="215" t="s">
        <v>183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1">
        <f>IF(J42&gt;J43,J42-J43,0)</f>
        <v>0</v>
      </c>
      <c r="K45" s="51">
        <f>IF(K42&gt;K43,K42-K43,0)</f>
        <v>0</v>
      </c>
      <c r="L45" s="51">
        <f>IF(L42&gt;L43,L42-L43,0)</f>
        <v>0</v>
      </c>
      <c r="M45" s="51">
        <f>IF(M42&gt;M43,M42-M43,0)</f>
        <v>0</v>
      </c>
    </row>
    <row r="46" spans="1:13" ht="12.75">
      <c r="A46" s="215" t="s">
        <v>184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1">
        <f>IF(J43&gt;J42,J43-J42,0)</f>
        <v>184665125</v>
      </c>
      <c r="K46" s="51">
        <f>IF(K43&gt;K42,K43-K42,0)</f>
        <v>43498768</v>
      </c>
      <c r="L46" s="51">
        <f>IF(L43&gt;L42,L43-L42,0)</f>
        <v>330732007</v>
      </c>
      <c r="M46" s="51">
        <f>IF(M43&gt;M42,M43-M42,0)</f>
        <v>140089741</v>
      </c>
    </row>
    <row r="47" spans="1:13" ht="12.75">
      <c r="A47" s="195" t="s">
        <v>182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>
        <v>133762</v>
      </c>
      <c r="K47" s="7">
        <f>J47-58198</f>
        <v>75564</v>
      </c>
      <c r="L47" s="7">
        <v>276727</v>
      </c>
      <c r="M47" s="7">
        <v>276727</v>
      </c>
    </row>
    <row r="48" spans="1:13" ht="12.75">
      <c r="A48" s="195" t="s">
        <v>202</v>
      </c>
      <c r="B48" s="196"/>
      <c r="C48" s="196"/>
      <c r="D48" s="196"/>
      <c r="E48" s="196"/>
      <c r="F48" s="196"/>
      <c r="G48" s="196"/>
      <c r="H48" s="197"/>
      <c r="I48" s="1">
        <v>152</v>
      </c>
      <c r="J48" s="117">
        <f>J44-J47</f>
        <v>-184798887</v>
      </c>
      <c r="K48" s="117">
        <f>K44-K47</f>
        <v>-43574332</v>
      </c>
      <c r="L48" s="117">
        <f>L44-L47</f>
        <v>-331008734</v>
      </c>
      <c r="M48" s="117">
        <f>M44-M47</f>
        <v>-140366468</v>
      </c>
    </row>
    <row r="49" spans="1:13" ht="12.75">
      <c r="A49" s="215" t="s">
        <v>157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1">
        <f>IF(J48&gt;0,J48,0)</f>
        <v>0</v>
      </c>
      <c r="K49" s="51">
        <f>IF(K48&gt;0,K48,0)</f>
        <v>0</v>
      </c>
      <c r="L49" s="51">
        <f>IF(L48&gt;0,L48,0)</f>
        <v>0</v>
      </c>
      <c r="M49" s="51">
        <f>IF(M48&gt;0,M48,0)</f>
        <v>0</v>
      </c>
    </row>
    <row r="50" spans="1:13" ht="12.75">
      <c r="A50" s="240" t="s">
        <v>185</v>
      </c>
      <c r="B50" s="241"/>
      <c r="C50" s="241"/>
      <c r="D50" s="241"/>
      <c r="E50" s="241"/>
      <c r="F50" s="241"/>
      <c r="G50" s="241"/>
      <c r="H50" s="242"/>
      <c r="I50" s="4">
        <v>154</v>
      </c>
      <c r="J50" s="58">
        <f>IF(J48&lt;0,-J48,0)</f>
        <v>184798887</v>
      </c>
      <c r="K50" s="58">
        <f>IF(K48&lt;0,-K48,0)</f>
        <v>43574332</v>
      </c>
      <c r="L50" s="58">
        <f>IF(L48&lt;0,-L48,0)</f>
        <v>331008734</v>
      </c>
      <c r="M50" s="58">
        <f>IF(M48&lt;0,-M48,0)</f>
        <v>140366468</v>
      </c>
    </row>
    <row r="51" spans="1:13" ht="12.75" customHeight="1">
      <c r="A51" s="212" t="s">
        <v>275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39"/>
    </row>
    <row r="52" spans="1:13" ht="12.75" customHeight="1">
      <c r="A52" s="192" t="s">
        <v>152</v>
      </c>
      <c r="B52" s="193"/>
      <c r="C52" s="193"/>
      <c r="D52" s="193"/>
      <c r="E52" s="193"/>
      <c r="F52" s="193"/>
      <c r="G52" s="193"/>
      <c r="H52" s="193"/>
      <c r="I52" s="52"/>
      <c r="J52" s="52"/>
      <c r="K52" s="52"/>
      <c r="L52" s="52"/>
      <c r="M52" s="123"/>
    </row>
    <row r="53" spans="1:13" ht="12.75">
      <c r="A53" s="236" t="s">
        <v>199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>
        <v>-185042811</v>
      </c>
      <c r="K53" s="7">
        <f>J53-(-140582224)</f>
        <v>-44460587</v>
      </c>
      <c r="L53" s="7">
        <v>-330364518</v>
      </c>
      <c r="M53" s="7">
        <f>L53-(-190057236)</f>
        <v>-140307282</v>
      </c>
    </row>
    <row r="54" spans="1:13" ht="12.75">
      <c r="A54" s="236" t="s">
        <v>200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>
        <v>243924</v>
      </c>
      <c r="K54" s="8">
        <f>J54-(-642331)</f>
        <v>886255</v>
      </c>
      <c r="L54" s="8">
        <v>-644216</v>
      </c>
      <c r="M54" s="8">
        <f>L54-(-585030)</f>
        <v>-59186</v>
      </c>
    </row>
    <row r="55" spans="1:13" ht="12.75" customHeight="1">
      <c r="A55" s="212" t="s">
        <v>154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39"/>
    </row>
    <row r="56" spans="1:13" ht="12.75">
      <c r="A56" s="192" t="s">
        <v>169</v>
      </c>
      <c r="B56" s="193"/>
      <c r="C56" s="193"/>
      <c r="D56" s="193"/>
      <c r="E56" s="193"/>
      <c r="F56" s="193"/>
      <c r="G56" s="193"/>
      <c r="H56" s="194"/>
      <c r="I56" s="9">
        <v>157</v>
      </c>
      <c r="J56" s="120">
        <f>J48</f>
        <v>-184798887</v>
      </c>
      <c r="K56" s="120">
        <f>K48</f>
        <v>-43574332</v>
      </c>
      <c r="L56" s="120">
        <f>L48</f>
        <v>-331008734</v>
      </c>
      <c r="M56" s="120">
        <f>M48</f>
        <v>-140366468</v>
      </c>
    </row>
    <row r="57" spans="1:13" ht="15.75" customHeight="1">
      <c r="A57" s="195" t="s">
        <v>186</v>
      </c>
      <c r="B57" s="196"/>
      <c r="C57" s="196"/>
      <c r="D57" s="196"/>
      <c r="E57" s="196"/>
      <c r="F57" s="196"/>
      <c r="G57" s="196"/>
      <c r="H57" s="197"/>
      <c r="I57" s="1">
        <v>158</v>
      </c>
      <c r="J57" s="117">
        <f>SUM(J58:J64)</f>
        <v>0</v>
      </c>
      <c r="K57" s="117">
        <f>SUM(K58:K64)</f>
        <v>0</v>
      </c>
      <c r="L57" s="117">
        <f>SUM(L58:L64)</f>
        <v>0</v>
      </c>
      <c r="M57" s="117">
        <f>SUM(M58:M64)</f>
        <v>0</v>
      </c>
    </row>
    <row r="58" spans="1:13" ht="15" customHeight="1">
      <c r="A58" s="195" t="s">
        <v>193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/>
      <c r="K58" s="7"/>
      <c r="L58" s="7"/>
      <c r="M58" s="7"/>
    </row>
    <row r="59" spans="1:13" ht="20.25" customHeight="1">
      <c r="A59" s="195" t="s">
        <v>194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/>
      <c r="M59" s="7"/>
    </row>
    <row r="60" spans="1:13" ht="21" customHeight="1">
      <c r="A60" s="195" t="s">
        <v>30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/>
      <c r="K60" s="7"/>
      <c r="L60" s="7"/>
      <c r="M60" s="7"/>
    </row>
    <row r="61" spans="1:13" ht="12.75">
      <c r="A61" s="195" t="s">
        <v>195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.75">
      <c r="A62" s="195" t="s">
        <v>196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.75">
      <c r="A63" s="195" t="s">
        <v>197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.75">
      <c r="A64" s="195" t="s">
        <v>198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12.75">
      <c r="A65" s="195" t="s">
        <v>187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/>
      <c r="K65" s="7"/>
      <c r="L65" s="7"/>
      <c r="M65" s="7"/>
    </row>
    <row r="66" spans="1:13" ht="21" customHeight="1">
      <c r="A66" s="195" t="s">
        <v>158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195" t="s">
        <v>159</v>
      </c>
      <c r="B67" s="196"/>
      <c r="C67" s="196"/>
      <c r="D67" s="196"/>
      <c r="E67" s="196"/>
      <c r="F67" s="196"/>
      <c r="G67" s="196"/>
      <c r="H67" s="197"/>
      <c r="I67" s="1">
        <v>168</v>
      </c>
      <c r="J67" s="121">
        <f>J56+J66</f>
        <v>-184798887</v>
      </c>
      <c r="K67" s="121">
        <f>K56+K66</f>
        <v>-43574332</v>
      </c>
      <c r="L67" s="121">
        <f>L56+L66</f>
        <v>-331008734</v>
      </c>
      <c r="M67" s="121">
        <f>M56+M66</f>
        <v>-140366468</v>
      </c>
    </row>
    <row r="68" spans="1:13" ht="12.75" customHeight="1">
      <c r="A68" s="247" t="s">
        <v>276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9"/>
    </row>
    <row r="69" spans="1:13" ht="12.75" customHeight="1">
      <c r="A69" s="250" t="s">
        <v>153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2"/>
    </row>
    <row r="70" spans="1:13" ht="12.75">
      <c r="A70" s="236" t="s">
        <v>199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>
        <f aca="true" t="shared" si="0" ref="J70:M71">J53</f>
        <v>-185042811</v>
      </c>
      <c r="K70" s="7">
        <f t="shared" si="0"/>
        <v>-44460587</v>
      </c>
      <c r="L70" s="7">
        <f t="shared" si="0"/>
        <v>-330364518</v>
      </c>
      <c r="M70" s="7">
        <f t="shared" si="0"/>
        <v>-140307282</v>
      </c>
    </row>
    <row r="71" spans="1:13" ht="12.75">
      <c r="A71" s="244" t="s">
        <v>200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>
        <f t="shared" si="0"/>
        <v>243924</v>
      </c>
      <c r="K71" s="8">
        <f t="shared" si="0"/>
        <v>886255</v>
      </c>
      <c r="L71" s="8">
        <f t="shared" si="0"/>
        <v>-644216</v>
      </c>
      <c r="M71" s="8">
        <f t="shared" si="0"/>
        <v>-59186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8:J65 L56 J57:M57 L58:L65 J53:M54 J70:M71 J66:M67 J56 K58 M58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75" right="0.16" top="1" bottom="1" header="0.5" footer="0.5"/>
  <pageSetup horizontalDpi="600" verticalDpi="600" orientation="portrait" paperSize="9" scale="8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31">
      <selection activeCell="G43" sqref="G43"/>
    </sheetView>
  </sheetViews>
  <sheetFormatPr defaultColWidth="9.140625" defaultRowHeight="12.75"/>
  <cols>
    <col min="1" max="6" width="9.140625" style="50" customWidth="1"/>
    <col min="7" max="7" width="7.8515625" style="50" customWidth="1"/>
    <col min="8" max="8" width="3.7109375" style="50" customWidth="1"/>
    <col min="9" max="9" width="6.28125" style="50" customWidth="1"/>
    <col min="10" max="11" width="13.7109375" style="50" customWidth="1"/>
    <col min="12" max="16384" width="9.140625" style="50" customWidth="1"/>
  </cols>
  <sheetData>
    <row r="1" spans="1:11" ht="29.25" customHeight="1">
      <c r="A1" s="254" t="s">
        <v>162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8" customHeight="1">
      <c r="A2" s="255" t="s">
        <v>318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8" customHeight="1">
      <c r="A3" s="253" t="s">
        <v>308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34.5">
      <c r="A4" s="256" t="s">
        <v>39</v>
      </c>
      <c r="B4" s="256"/>
      <c r="C4" s="256"/>
      <c r="D4" s="256"/>
      <c r="E4" s="256"/>
      <c r="F4" s="256"/>
      <c r="G4" s="256"/>
      <c r="H4" s="256"/>
      <c r="I4" s="60" t="s">
        <v>244</v>
      </c>
      <c r="J4" s="61" t="s">
        <v>281</v>
      </c>
      <c r="K4" s="61" t="s">
        <v>282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4">
        <v>2</v>
      </c>
      <c r="J5" s="65" t="s">
        <v>247</v>
      </c>
      <c r="K5" s="65" t="s">
        <v>248</v>
      </c>
    </row>
    <row r="6" spans="1:11" ht="12.75">
      <c r="A6" s="212" t="s">
        <v>130</v>
      </c>
      <c r="B6" s="223"/>
      <c r="C6" s="223"/>
      <c r="D6" s="223"/>
      <c r="E6" s="223"/>
      <c r="F6" s="223"/>
      <c r="G6" s="223"/>
      <c r="H6" s="223"/>
      <c r="I6" s="258"/>
      <c r="J6" s="258"/>
      <c r="K6" s="259"/>
    </row>
    <row r="7" spans="1:11" ht="12.75">
      <c r="A7" s="206" t="s">
        <v>164</v>
      </c>
      <c r="B7" s="207"/>
      <c r="C7" s="207"/>
      <c r="D7" s="207"/>
      <c r="E7" s="207"/>
      <c r="F7" s="207"/>
      <c r="G7" s="207"/>
      <c r="H7" s="207"/>
      <c r="I7" s="1">
        <v>1</v>
      </c>
      <c r="J7" s="7">
        <v>2530921226</v>
      </c>
      <c r="K7" s="7">
        <v>2293114228</v>
      </c>
    </row>
    <row r="8" spans="1:11" ht="12.75">
      <c r="A8" s="206" t="s">
        <v>93</v>
      </c>
      <c r="B8" s="207"/>
      <c r="C8" s="207"/>
      <c r="D8" s="207"/>
      <c r="E8" s="207"/>
      <c r="F8" s="207"/>
      <c r="G8" s="207"/>
      <c r="H8" s="207"/>
      <c r="I8" s="1">
        <v>2</v>
      </c>
      <c r="J8" s="7"/>
      <c r="K8" s="7"/>
    </row>
    <row r="9" spans="1:11" ht="12.75">
      <c r="A9" s="206" t="s">
        <v>94</v>
      </c>
      <c r="B9" s="207"/>
      <c r="C9" s="207"/>
      <c r="D9" s="207"/>
      <c r="E9" s="207"/>
      <c r="F9" s="207"/>
      <c r="G9" s="207"/>
      <c r="H9" s="207"/>
      <c r="I9" s="1">
        <v>3</v>
      </c>
      <c r="J9" s="7">
        <v>3834347</v>
      </c>
      <c r="K9" s="7">
        <v>4994325</v>
      </c>
    </row>
    <row r="10" spans="1:11" ht="12.75">
      <c r="A10" s="206" t="s">
        <v>95</v>
      </c>
      <c r="B10" s="207"/>
      <c r="C10" s="207"/>
      <c r="D10" s="207"/>
      <c r="E10" s="207"/>
      <c r="F10" s="207"/>
      <c r="G10" s="207"/>
      <c r="H10" s="207"/>
      <c r="I10" s="1">
        <v>4</v>
      </c>
      <c r="J10" s="7">
        <v>317933980</v>
      </c>
      <c r="K10" s="7">
        <v>344321282</v>
      </c>
    </row>
    <row r="11" spans="1:11" ht="12.75">
      <c r="A11" s="206" t="s">
        <v>96</v>
      </c>
      <c r="B11" s="207"/>
      <c r="C11" s="207"/>
      <c r="D11" s="207"/>
      <c r="E11" s="207"/>
      <c r="F11" s="207"/>
      <c r="G11" s="207"/>
      <c r="H11" s="207"/>
      <c r="I11" s="1">
        <v>5</v>
      </c>
      <c r="J11" s="7">
        <v>9791149</v>
      </c>
      <c r="K11" s="7">
        <v>4449827</v>
      </c>
    </row>
    <row r="12" spans="1:11" ht="12.75">
      <c r="A12" s="195" t="s">
        <v>163</v>
      </c>
      <c r="B12" s="196"/>
      <c r="C12" s="196"/>
      <c r="D12" s="196"/>
      <c r="E12" s="196"/>
      <c r="F12" s="196"/>
      <c r="G12" s="196"/>
      <c r="H12" s="196"/>
      <c r="I12" s="1">
        <v>6</v>
      </c>
      <c r="J12" s="117">
        <f>SUM(J7:J11)</f>
        <v>2862480702</v>
      </c>
      <c r="K12" s="117">
        <f>SUM(K7:K11)</f>
        <v>2646879662</v>
      </c>
    </row>
    <row r="13" spans="1:11" ht="12.75">
      <c r="A13" s="206" t="s">
        <v>97</v>
      </c>
      <c r="B13" s="207"/>
      <c r="C13" s="207"/>
      <c r="D13" s="207"/>
      <c r="E13" s="207"/>
      <c r="F13" s="207"/>
      <c r="G13" s="207"/>
      <c r="H13" s="207"/>
      <c r="I13" s="1">
        <v>7</v>
      </c>
      <c r="J13" s="7">
        <v>2934657128</v>
      </c>
      <c r="K13" s="7">
        <v>2781258086</v>
      </c>
    </row>
    <row r="14" spans="1:11" ht="12.75">
      <c r="A14" s="206" t="s">
        <v>98</v>
      </c>
      <c r="B14" s="207"/>
      <c r="C14" s="207"/>
      <c r="D14" s="207"/>
      <c r="E14" s="207"/>
      <c r="F14" s="207"/>
      <c r="G14" s="207"/>
      <c r="H14" s="207"/>
      <c r="I14" s="1">
        <v>8</v>
      </c>
      <c r="J14" s="7">
        <v>259338542</v>
      </c>
      <c r="K14" s="7">
        <v>280857462</v>
      </c>
    </row>
    <row r="15" spans="1:11" ht="12.75">
      <c r="A15" s="206" t="s">
        <v>99</v>
      </c>
      <c r="B15" s="207"/>
      <c r="C15" s="207"/>
      <c r="D15" s="207"/>
      <c r="E15" s="207"/>
      <c r="F15" s="207"/>
      <c r="G15" s="207"/>
      <c r="H15" s="207"/>
      <c r="I15" s="1">
        <v>9</v>
      </c>
      <c r="J15" s="7">
        <v>14698097</v>
      </c>
      <c r="K15" s="7">
        <v>14493411</v>
      </c>
    </row>
    <row r="16" spans="1:11" ht="12.75">
      <c r="A16" s="206" t="s">
        <v>100</v>
      </c>
      <c r="B16" s="207"/>
      <c r="C16" s="207"/>
      <c r="D16" s="207"/>
      <c r="E16" s="207"/>
      <c r="F16" s="207"/>
      <c r="G16" s="207"/>
      <c r="H16" s="207"/>
      <c r="I16" s="1">
        <v>10</v>
      </c>
      <c r="J16" s="7">
        <v>25627780</v>
      </c>
      <c r="K16" s="7">
        <v>29441416</v>
      </c>
    </row>
    <row r="17" spans="1:11" ht="12.75">
      <c r="A17" s="206" t="s">
        <v>101</v>
      </c>
      <c r="B17" s="207"/>
      <c r="C17" s="207"/>
      <c r="D17" s="207"/>
      <c r="E17" s="207"/>
      <c r="F17" s="207"/>
      <c r="G17" s="207"/>
      <c r="H17" s="207"/>
      <c r="I17" s="1">
        <v>11</v>
      </c>
      <c r="J17" s="7">
        <v>138295849</v>
      </c>
      <c r="K17" s="7">
        <v>112355548</v>
      </c>
    </row>
    <row r="18" spans="1:11" ht="12.75">
      <c r="A18" s="206" t="s">
        <v>102</v>
      </c>
      <c r="B18" s="207"/>
      <c r="C18" s="207"/>
      <c r="D18" s="207"/>
      <c r="E18" s="207"/>
      <c r="F18" s="207"/>
      <c r="G18" s="207"/>
      <c r="H18" s="207"/>
      <c r="I18" s="1">
        <v>12</v>
      </c>
      <c r="J18" s="7">
        <v>21581850</v>
      </c>
      <c r="K18" s="7">
        <v>14317732</v>
      </c>
    </row>
    <row r="19" spans="1:11" ht="12.75">
      <c r="A19" s="195" t="s">
        <v>32</v>
      </c>
      <c r="B19" s="196"/>
      <c r="C19" s="196"/>
      <c r="D19" s="196"/>
      <c r="E19" s="196"/>
      <c r="F19" s="196"/>
      <c r="G19" s="196"/>
      <c r="H19" s="196"/>
      <c r="I19" s="1">
        <v>13</v>
      </c>
      <c r="J19" s="117">
        <f>SUM(J13:J18)</f>
        <v>3394199246</v>
      </c>
      <c r="K19" s="117">
        <f>SUM(K13:K18)</f>
        <v>3232723655</v>
      </c>
    </row>
    <row r="20" spans="1:11" ht="24" customHeight="1">
      <c r="A20" s="195" t="s">
        <v>84</v>
      </c>
      <c r="B20" s="260"/>
      <c r="C20" s="260"/>
      <c r="D20" s="260"/>
      <c r="E20" s="260"/>
      <c r="F20" s="260"/>
      <c r="G20" s="260"/>
      <c r="H20" s="261"/>
      <c r="I20" s="1">
        <v>14</v>
      </c>
      <c r="J20" s="117">
        <f>IF(J12&gt;J19,J12-J19,0)</f>
        <v>0</v>
      </c>
      <c r="K20" s="117">
        <f>IF(K12&gt;K19,K12-K19,0)</f>
        <v>0</v>
      </c>
    </row>
    <row r="21" spans="1:11" ht="23.25" customHeight="1">
      <c r="A21" s="209" t="s">
        <v>85</v>
      </c>
      <c r="B21" s="262"/>
      <c r="C21" s="262"/>
      <c r="D21" s="262"/>
      <c r="E21" s="262"/>
      <c r="F21" s="262"/>
      <c r="G21" s="262"/>
      <c r="H21" s="263"/>
      <c r="I21" s="1">
        <v>15</v>
      </c>
      <c r="J21" s="117">
        <f>IF(J19&gt;J12,J19-J12,0)</f>
        <v>531718544</v>
      </c>
      <c r="K21" s="117">
        <f>IF(K19&gt;K12,K19-K12,0)</f>
        <v>585843993</v>
      </c>
    </row>
    <row r="22" spans="1:11" ht="12.75">
      <c r="A22" s="212" t="s">
        <v>131</v>
      </c>
      <c r="B22" s="223"/>
      <c r="C22" s="223"/>
      <c r="D22" s="223"/>
      <c r="E22" s="223"/>
      <c r="F22" s="223"/>
      <c r="G22" s="223"/>
      <c r="H22" s="223"/>
      <c r="I22" s="258"/>
      <c r="J22" s="258"/>
      <c r="K22" s="259"/>
    </row>
    <row r="23" spans="1:11" ht="12.75">
      <c r="A23" s="206" t="s">
        <v>136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>
        <v>272215</v>
      </c>
      <c r="K23" s="7">
        <v>9563</v>
      </c>
    </row>
    <row r="24" spans="1:11" ht="12.75">
      <c r="A24" s="206" t="s">
        <v>137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283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284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>
        <v>677265</v>
      </c>
      <c r="K26" s="7">
        <v>1005704</v>
      </c>
    </row>
    <row r="27" spans="1:11" ht="12.75">
      <c r="A27" s="206" t="s">
        <v>138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195" t="s">
        <v>90</v>
      </c>
      <c r="B28" s="196"/>
      <c r="C28" s="196"/>
      <c r="D28" s="196"/>
      <c r="E28" s="196"/>
      <c r="F28" s="196"/>
      <c r="G28" s="196"/>
      <c r="H28" s="196"/>
      <c r="I28" s="1">
        <v>21</v>
      </c>
      <c r="J28" s="122">
        <f>SUM(J23:J27)</f>
        <v>949480</v>
      </c>
      <c r="K28" s="117">
        <f>SUM(K23:K27)</f>
        <v>1015267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7">
        <v>60656715</v>
      </c>
      <c r="K29" s="7">
        <v>65213192</v>
      </c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7">
        <v>13630000</v>
      </c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7">
        <v>20020</v>
      </c>
      <c r="K31" s="7"/>
    </row>
    <row r="32" spans="1:11" ht="12.75">
      <c r="A32" s="195" t="s">
        <v>33</v>
      </c>
      <c r="B32" s="196"/>
      <c r="C32" s="196"/>
      <c r="D32" s="196"/>
      <c r="E32" s="196"/>
      <c r="F32" s="196"/>
      <c r="G32" s="196"/>
      <c r="H32" s="196"/>
      <c r="I32" s="1">
        <v>25</v>
      </c>
      <c r="J32" s="122">
        <f>SUM(J29:J31)</f>
        <v>74306735</v>
      </c>
      <c r="K32" s="117">
        <f>SUM(K29:K31)</f>
        <v>65213192</v>
      </c>
    </row>
    <row r="33" spans="1:11" ht="25.5" customHeight="1">
      <c r="A33" s="195" t="s">
        <v>86</v>
      </c>
      <c r="B33" s="196"/>
      <c r="C33" s="196"/>
      <c r="D33" s="196"/>
      <c r="E33" s="196"/>
      <c r="F33" s="196"/>
      <c r="G33" s="196"/>
      <c r="H33" s="196"/>
      <c r="I33" s="1">
        <v>26</v>
      </c>
      <c r="J33" s="122">
        <f>IF(J28&gt;J32,J28-J32,0)</f>
        <v>0</v>
      </c>
      <c r="K33" s="117">
        <f>IF(K28&gt;K32,K28-K32,0)</f>
        <v>0</v>
      </c>
    </row>
    <row r="34" spans="1:11" ht="22.5" customHeight="1">
      <c r="A34" s="195" t="s">
        <v>87</v>
      </c>
      <c r="B34" s="196"/>
      <c r="C34" s="196"/>
      <c r="D34" s="196"/>
      <c r="E34" s="196"/>
      <c r="F34" s="196"/>
      <c r="G34" s="196"/>
      <c r="H34" s="196"/>
      <c r="I34" s="1">
        <v>27</v>
      </c>
      <c r="J34" s="122">
        <f>IF(J32&gt;J28,J32-J28,0)</f>
        <v>73357255</v>
      </c>
      <c r="K34" s="117">
        <f>IF(K32&gt;K28,K32-K28,0)</f>
        <v>64197925</v>
      </c>
    </row>
    <row r="35" spans="1:11" ht="12.75">
      <c r="A35" s="212" t="s">
        <v>132</v>
      </c>
      <c r="B35" s="223"/>
      <c r="C35" s="223"/>
      <c r="D35" s="223"/>
      <c r="E35" s="223"/>
      <c r="F35" s="223"/>
      <c r="G35" s="223"/>
      <c r="H35" s="223"/>
      <c r="I35" s="258">
        <v>0</v>
      </c>
      <c r="J35" s="258"/>
      <c r="K35" s="259"/>
    </row>
    <row r="36" spans="1:11" ht="12.75">
      <c r="A36" s="206" t="s">
        <v>144</v>
      </c>
      <c r="B36" s="207"/>
      <c r="C36" s="207"/>
      <c r="D36" s="207"/>
      <c r="E36" s="207"/>
      <c r="F36" s="207"/>
      <c r="G36" s="207"/>
      <c r="H36" s="207"/>
      <c r="I36" s="1">
        <v>28</v>
      </c>
      <c r="J36" s="7"/>
      <c r="K36" s="7">
        <v>186206100</v>
      </c>
    </row>
    <row r="37" spans="1:11" ht="12.75">
      <c r="A37" s="206" t="s">
        <v>23</v>
      </c>
      <c r="B37" s="207"/>
      <c r="C37" s="207"/>
      <c r="D37" s="207"/>
      <c r="E37" s="207"/>
      <c r="F37" s="207"/>
      <c r="G37" s="207"/>
      <c r="H37" s="207"/>
      <c r="I37" s="1">
        <v>29</v>
      </c>
      <c r="J37" s="7">
        <v>2302466500</v>
      </c>
      <c r="K37" s="7">
        <v>2024800000</v>
      </c>
    </row>
    <row r="38" spans="1:11" ht="12.75">
      <c r="A38" s="206" t="s">
        <v>24</v>
      </c>
      <c r="B38" s="207"/>
      <c r="C38" s="207"/>
      <c r="D38" s="207"/>
      <c r="E38" s="207"/>
      <c r="F38" s="207"/>
      <c r="G38" s="207"/>
      <c r="H38" s="207"/>
      <c r="I38" s="1">
        <v>30</v>
      </c>
      <c r="J38" s="7">
        <v>679616364</v>
      </c>
      <c r="K38" s="7">
        <v>670266144</v>
      </c>
    </row>
    <row r="39" spans="1:11" ht="12.75">
      <c r="A39" s="195" t="s">
        <v>34</v>
      </c>
      <c r="B39" s="196"/>
      <c r="C39" s="196"/>
      <c r="D39" s="196"/>
      <c r="E39" s="196"/>
      <c r="F39" s="196"/>
      <c r="G39" s="196"/>
      <c r="H39" s="196"/>
      <c r="I39" s="1">
        <v>31</v>
      </c>
      <c r="J39" s="117">
        <f>SUM(J36:J38)</f>
        <v>2982082864</v>
      </c>
      <c r="K39" s="117">
        <f>SUM(K36:K38)</f>
        <v>2881272244</v>
      </c>
    </row>
    <row r="40" spans="1:11" ht="12.75">
      <c r="A40" s="206" t="s">
        <v>25</v>
      </c>
      <c r="B40" s="207"/>
      <c r="C40" s="207"/>
      <c r="D40" s="207"/>
      <c r="E40" s="207"/>
      <c r="F40" s="207"/>
      <c r="G40" s="207"/>
      <c r="H40" s="207"/>
      <c r="I40" s="1">
        <v>32</v>
      </c>
      <c r="J40" s="7">
        <v>2233188722</v>
      </c>
      <c r="K40" s="7">
        <v>2052942394</v>
      </c>
    </row>
    <row r="41" spans="1:11" ht="12.75">
      <c r="A41" s="206" t="s">
        <v>26</v>
      </c>
      <c r="B41" s="207"/>
      <c r="C41" s="207"/>
      <c r="D41" s="207"/>
      <c r="E41" s="207"/>
      <c r="F41" s="207"/>
      <c r="G41" s="207"/>
      <c r="H41" s="207"/>
      <c r="I41" s="1">
        <v>33</v>
      </c>
      <c r="J41" s="7"/>
      <c r="K41" s="7"/>
    </row>
    <row r="42" spans="1:11" ht="12.75">
      <c r="A42" s="206" t="s">
        <v>27</v>
      </c>
      <c r="B42" s="207"/>
      <c r="C42" s="207"/>
      <c r="D42" s="207"/>
      <c r="E42" s="207"/>
      <c r="F42" s="207"/>
      <c r="G42" s="207"/>
      <c r="H42" s="207"/>
      <c r="I42" s="1">
        <v>34</v>
      </c>
      <c r="J42" s="7"/>
      <c r="K42" s="7"/>
    </row>
    <row r="43" spans="1:11" ht="12.75">
      <c r="A43" s="206" t="s">
        <v>28</v>
      </c>
      <c r="B43" s="207"/>
      <c r="C43" s="207"/>
      <c r="D43" s="207"/>
      <c r="E43" s="207"/>
      <c r="F43" s="207"/>
      <c r="G43" s="207"/>
      <c r="H43" s="207"/>
      <c r="I43" s="1">
        <v>35</v>
      </c>
      <c r="J43" s="7"/>
      <c r="K43" s="7"/>
    </row>
    <row r="44" spans="1:11" ht="12.75">
      <c r="A44" s="206" t="s">
        <v>29</v>
      </c>
      <c r="B44" s="207"/>
      <c r="C44" s="207"/>
      <c r="D44" s="207"/>
      <c r="E44" s="207"/>
      <c r="F44" s="207"/>
      <c r="G44" s="207"/>
      <c r="H44" s="207"/>
      <c r="I44" s="1">
        <v>36</v>
      </c>
      <c r="J44" s="7">
        <v>121141495</v>
      </c>
      <c r="K44" s="7">
        <v>200519561</v>
      </c>
    </row>
    <row r="45" spans="1:11" ht="12.75">
      <c r="A45" s="195" t="s">
        <v>122</v>
      </c>
      <c r="B45" s="196"/>
      <c r="C45" s="196"/>
      <c r="D45" s="196"/>
      <c r="E45" s="196"/>
      <c r="F45" s="196"/>
      <c r="G45" s="196"/>
      <c r="H45" s="196"/>
      <c r="I45" s="1">
        <v>37</v>
      </c>
      <c r="J45" s="117">
        <f>SUM(J40:J44)</f>
        <v>2354330217</v>
      </c>
      <c r="K45" s="117">
        <f>SUM(K40:K44)</f>
        <v>2253461955</v>
      </c>
    </row>
    <row r="46" spans="1:11" ht="21" customHeight="1">
      <c r="A46" s="195" t="s">
        <v>134</v>
      </c>
      <c r="B46" s="196"/>
      <c r="C46" s="196"/>
      <c r="D46" s="196"/>
      <c r="E46" s="196"/>
      <c r="F46" s="196"/>
      <c r="G46" s="196"/>
      <c r="H46" s="196"/>
      <c r="I46" s="1">
        <v>38</v>
      </c>
      <c r="J46" s="117">
        <f>IF(J39&gt;J45,J39-J45,0)</f>
        <v>627752647</v>
      </c>
      <c r="K46" s="117">
        <f>IF(K39&gt;K45,K39-K45,0)</f>
        <v>627810289</v>
      </c>
    </row>
    <row r="47" spans="1:11" ht="21" customHeight="1">
      <c r="A47" s="195" t="s">
        <v>135</v>
      </c>
      <c r="B47" s="196"/>
      <c r="C47" s="196"/>
      <c r="D47" s="196"/>
      <c r="E47" s="196"/>
      <c r="F47" s="196"/>
      <c r="G47" s="196"/>
      <c r="H47" s="196"/>
      <c r="I47" s="1">
        <v>39</v>
      </c>
      <c r="J47" s="117">
        <f>IF(J45&gt;J39,J45-J39,0)</f>
        <v>0</v>
      </c>
      <c r="K47" s="117">
        <f>IF(K45&gt;K39,K45-K39,0)</f>
        <v>0</v>
      </c>
    </row>
    <row r="48" spans="1:11" ht="12.75">
      <c r="A48" s="195" t="s">
        <v>123</v>
      </c>
      <c r="B48" s="196"/>
      <c r="C48" s="196"/>
      <c r="D48" s="196"/>
      <c r="E48" s="196"/>
      <c r="F48" s="196"/>
      <c r="G48" s="196"/>
      <c r="H48" s="196"/>
      <c r="I48" s="1">
        <v>40</v>
      </c>
      <c r="J48" s="117">
        <f>IF(J20-J21+J33-J34+J46-J47&gt;0,J20-J21+J33-J34+J46-J47,0)</f>
        <v>22676848</v>
      </c>
      <c r="K48" s="117">
        <f>IF(K20-K21+K33-K34+K46-K47&gt;0,K20-K21+K33-K34+K46-K47,0)</f>
        <v>0</v>
      </c>
    </row>
    <row r="49" spans="1:11" ht="12.75">
      <c r="A49" s="195" t="s">
        <v>12</v>
      </c>
      <c r="B49" s="196"/>
      <c r="C49" s="196"/>
      <c r="D49" s="196"/>
      <c r="E49" s="196"/>
      <c r="F49" s="196"/>
      <c r="G49" s="196"/>
      <c r="H49" s="196"/>
      <c r="I49" s="1">
        <v>41</v>
      </c>
      <c r="J49" s="117">
        <f>IF(J21-J20+J34-J33+J47-J46&gt;0,J21-J20+J34-J33+J47-J46,0)</f>
        <v>0</v>
      </c>
      <c r="K49" s="117">
        <f>IF(K21-K20+K34-K33+K47-K46&gt;0,K21-K20+K34-K33+K47-K46,0)</f>
        <v>22231629</v>
      </c>
    </row>
    <row r="50" spans="1:11" ht="12.75">
      <c r="A50" s="195" t="s">
        <v>133</v>
      </c>
      <c r="B50" s="196"/>
      <c r="C50" s="196"/>
      <c r="D50" s="196"/>
      <c r="E50" s="196"/>
      <c r="F50" s="196"/>
      <c r="G50" s="196"/>
      <c r="H50" s="196"/>
      <c r="I50" s="1">
        <v>42</v>
      </c>
      <c r="J50" s="7">
        <v>27982304</v>
      </c>
      <c r="K50" s="7">
        <v>50659152</v>
      </c>
    </row>
    <row r="51" spans="1:11" ht="12.75">
      <c r="A51" s="195" t="s">
        <v>145</v>
      </c>
      <c r="B51" s="196"/>
      <c r="C51" s="196"/>
      <c r="D51" s="196"/>
      <c r="E51" s="196"/>
      <c r="F51" s="196"/>
      <c r="G51" s="196"/>
      <c r="H51" s="196"/>
      <c r="I51" s="1">
        <v>43</v>
      </c>
      <c r="J51" s="7">
        <v>22676848</v>
      </c>
      <c r="K51" s="7"/>
    </row>
    <row r="52" spans="1:11" ht="12.75">
      <c r="A52" s="195" t="s">
        <v>146</v>
      </c>
      <c r="B52" s="196"/>
      <c r="C52" s="196"/>
      <c r="D52" s="196"/>
      <c r="E52" s="196"/>
      <c r="F52" s="196"/>
      <c r="G52" s="196"/>
      <c r="H52" s="196"/>
      <c r="I52" s="1">
        <v>44</v>
      </c>
      <c r="J52" s="7"/>
      <c r="K52" s="7">
        <v>22231629</v>
      </c>
    </row>
    <row r="53" spans="1:11" ht="12.75">
      <c r="A53" s="209" t="s">
        <v>147</v>
      </c>
      <c r="B53" s="210"/>
      <c r="C53" s="210"/>
      <c r="D53" s="210"/>
      <c r="E53" s="210"/>
      <c r="F53" s="210"/>
      <c r="G53" s="210"/>
      <c r="H53" s="210"/>
      <c r="I53" s="4">
        <v>45</v>
      </c>
      <c r="J53" s="58">
        <f>J50+J51-J52</f>
        <v>50659152</v>
      </c>
      <c r="K53" s="58">
        <f>K50+K51-K52</f>
        <v>28427523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7:K11 J29:K31 J13:K18 J23:K27 J50:K52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5 J19:K22 J28:K28 J12:K12 J45:K49 J39:K39">
      <formula1>0</formula1>
    </dataValidation>
  </dataValidations>
  <printOptions/>
  <pageMargins left="0.75" right="0.5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zoomScalePageLayoutView="0" workbookViewId="0" topLeftCell="A1">
      <selection activeCell="G43" sqref="G43"/>
    </sheetView>
  </sheetViews>
  <sheetFormatPr defaultColWidth="9.140625" defaultRowHeight="12.75"/>
  <cols>
    <col min="1" max="1" width="9.140625" style="67" customWidth="1"/>
    <col min="2" max="2" width="7.140625" style="67" customWidth="1"/>
    <col min="3" max="3" width="7.57421875" style="67" customWidth="1"/>
    <col min="4" max="4" width="6.57421875" style="67" customWidth="1"/>
    <col min="5" max="5" width="10.140625" style="67" bestFit="1" customWidth="1"/>
    <col min="6" max="6" width="6.8515625" style="67" customWidth="1"/>
    <col min="7" max="7" width="5.28125" style="67" customWidth="1"/>
    <col min="8" max="8" width="3.57421875" style="67" customWidth="1"/>
    <col min="9" max="9" width="7.28125" style="67" customWidth="1"/>
    <col min="10" max="10" width="9.8515625" style="67" customWidth="1"/>
    <col min="11" max="11" width="10.28125" style="67" customWidth="1"/>
    <col min="12" max="16384" width="9.140625" style="67" customWidth="1"/>
  </cols>
  <sheetData>
    <row r="1" spans="1:12" ht="27" customHeight="1">
      <c r="A1" s="270" t="s">
        <v>246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6"/>
    </row>
    <row r="2" spans="1:12" ht="18" customHeight="1">
      <c r="A2" s="285" t="s">
        <v>317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68"/>
    </row>
    <row r="3" spans="1:12" ht="24" customHeight="1">
      <c r="A3" s="282" t="s">
        <v>308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  <c r="L3" s="68"/>
    </row>
    <row r="4" spans="1:11" ht="23.25">
      <c r="A4" s="280" t="s">
        <v>39</v>
      </c>
      <c r="B4" s="280"/>
      <c r="C4" s="280"/>
      <c r="D4" s="280"/>
      <c r="E4" s="280"/>
      <c r="F4" s="280"/>
      <c r="G4" s="280"/>
      <c r="H4" s="280"/>
      <c r="I4" s="70" t="s">
        <v>268</v>
      </c>
      <c r="J4" s="71" t="s">
        <v>124</v>
      </c>
      <c r="K4" s="71" t="s">
        <v>125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73">
        <v>2</v>
      </c>
      <c r="J5" s="72" t="s">
        <v>247</v>
      </c>
      <c r="K5" s="72" t="s">
        <v>248</v>
      </c>
    </row>
    <row r="6" spans="1:11" ht="12.75">
      <c r="A6" s="272" t="s">
        <v>249</v>
      </c>
      <c r="B6" s="273"/>
      <c r="C6" s="273"/>
      <c r="D6" s="273"/>
      <c r="E6" s="273"/>
      <c r="F6" s="273"/>
      <c r="G6" s="273"/>
      <c r="H6" s="273"/>
      <c r="I6" s="42">
        <v>1</v>
      </c>
      <c r="J6" s="43">
        <v>902101590</v>
      </c>
      <c r="K6" s="43">
        <v>754195990</v>
      </c>
    </row>
    <row r="7" spans="1:11" ht="12.75">
      <c r="A7" s="272" t="s">
        <v>250</v>
      </c>
      <c r="B7" s="273"/>
      <c r="C7" s="273"/>
      <c r="D7" s="273"/>
      <c r="E7" s="273"/>
      <c r="F7" s="273"/>
      <c r="G7" s="273"/>
      <c r="H7" s="273"/>
      <c r="I7" s="42">
        <v>2</v>
      </c>
      <c r="J7" s="44"/>
      <c r="K7" s="44"/>
    </row>
    <row r="8" spans="1:11" ht="12.75">
      <c r="A8" s="272" t="s">
        <v>251</v>
      </c>
      <c r="B8" s="273"/>
      <c r="C8" s="273"/>
      <c r="D8" s="273"/>
      <c r="E8" s="273"/>
      <c r="F8" s="273"/>
      <c r="G8" s="273"/>
      <c r="H8" s="273"/>
      <c r="I8" s="42">
        <v>3</v>
      </c>
      <c r="J8" s="44"/>
      <c r="K8" s="44">
        <v>9947755</v>
      </c>
    </row>
    <row r="9" spans="1:11" ht="12.75">
      <c r="A9" s="272" t="s">
        <v>252</v>
      </c>
      <c r="B9" s="273"/>
      <c r="C9" s="273"/>
      <c r="D9" s="273"/>
      <c r="E9" s="273"/>
      <c r="F9" s="273"/>
      <c r="G9" s="273"/>
      <c r="H9" s="273"/>
      <c r="I9" s="42">
        <v>4</v>
      </c>
      <c r="J9" s="44">
        <v>-138286230</v>
      </c>
      <c r="K9" s="44">
        <v>1796539</v>
      </c>
    </row>
    <row r="10" spans="1:11" ht="12.75">
      <c r="A10" s="272" t="s">
        <v>253</v>
      </c>
      <c r="B10" s="273"/>
      <c r="C10" s="273"/>
      <c r="D10" s="273"/>
      <c r="E10" s="273"/>
      <c r="F10" s="273"/>
      <c r="G10" s="273"/>
      <c r="H10" s="273"/>
      <c r="I10" s="42">
        <v>5</v>
      </c>
      <c r="J10" s="44">
        <v>-184491370</v>
      </c>
      <c r="K10" s="44">
        <v>-331008734</v>
      </c>
    </row>
    <row r="11" spans="1:11" ht="12.75">
      <c r="A11" s="272" t="s">
        <v>254</v>
      </c>
      <c r="B11" s="273"/>
      <c r="C11" s="273"/>
      <c r="D11" s="273"/>
      <c r="E11" s="273"/>
      <c r="F11" s="273"/>
      <c r="G11" s="273"/>
      <c r="H11" s="273"/>
      <c r="I11" s="42">
        <v>6</v>
      </c>
      <c r="J11" s="44"/>
      <c r="K11" s="44"/>
    </row>
    <row r="12" spans="1:11" ht="12.75">
      <c r="A12" s="272" t="s">
        <v>255</v>
      </c>
      <c r="B12" s="273"/>
      <c r="C12" s="273"/>
      <c r="D12" s="273"/>
      <c r="E12" s="273"/>
      <c r="F12" s="273"/>
      <c r="G12" s="273"/>
      <c r="H12" s="273"/>
      <c r="I12" s="42">
        <v>7</v>
      </c>
      <c r="J12" s="44"/>
      <c r="K12" s="44"/>
    </row>
    <row r="13" spans="1:11" ht="12.75">
      <c r="A13" s="272" t="s">
        <v>256</v>
      </c>
      <c r="B13" s="273"/>
      <c r="C13" s="273"/>
      <c r="D13" s="273"/>
      <c r="E13" s="273"/>
      <c r="F13" s="273"/>
      <c r="G13" s="273"/>
      <c r="H13" s="273"/>
      <c r="I13" s="42">
        <v>8</v>
      </c>
      <c r="J13" s="44"/>
      <c r="K13" s="44"/>
    </row>
    <row r="14" spans="1:11" ht="12.75">
      <c r="A14" s="272" t="s">
        <v>307</v>
      </c>
      <c r="B14" s="273"/>
      <c r="C14" s="273"/>
      <c r="D14" s="273"/>
      <c r="E14" s="273"/>
      <c r="F14" s="273"/>
      <c r="G14" s="273"/>
      <c r="H14" s="273"/>
      <c r="I14" s="42">
        <v>9</v>
      </c>
      <c r="J14" s="44">
        <v>4975338</v>
      </c>
      <c r="K14" s="44">
        <v>4411061</v>
      </c>
    </row>
    <row r="15" spans="1:11" ht="12.75">
      <c r="A15" s="274" t="s">
        <v>257</v>
      </c>
      <c r="B15" s="275"/>
      <c r="C15" s="275"/>
      <c r="D15" s="275"/>
      <c r="E15" s="275"/>
      <c r="F15" s="275"/>
      <c r="G15" s="275"/>
      <c r="H15" s="275"/>
      <c r="I15" s="42">
        <v>10</v>
      </c>
      <c r="J15" s="117">
        <f>SUM(J6:J14)</f>
        <v>584299328</v>
      </c>
      <c r="K15" s="117">
        <f>SUM(K6:K14)</f>
        <v>439342611</v>
      </c>
    </row>
    <row r="16" spans="1:11" ht="12.75">
      <c r="A16" s="272" t="s">
        <v>258</v>
      </c>
      <c r="B16" s="273"/>
      <c r="C16" s="273"/>
      <c r="D16" s="273"/>
      <c r="E16" s="273"/>
      <c r="F16" s="273"/>
      <c r="G16" s="273"/>
      <c r="H16" s="273"/>
      <c r="I16" s="42">
        <v>11</v>
      </c>
      <c r="J16" s="44"/>
      <c r="K16" s="44"/>
    </row>
    <row r="17" spans="1:11" ht="12.75">
      <c r="A17" s="272" t="s">
        <v>259</v>
      </c>
      <c r="B17" s="273"/>
      <c r="C17" s="273"/>
      <c r="D17" s="273"/>
      <c r="E17" s="273"/>
      <c r="F17" s="273"/>
      <c r="G17" s="273"/>
      <c r="H17" s="273"/>
      <c r="I17" s="42">
        <v>12</v>
      </c>
      <c r="J17" s="44"/>
      <c r="K17" s="44"/>
    </row>
    <row r="18" spans="1:11" ht="12.75">
      <c r="A18" s="272" t="s">
        <v>260</v>
      </c>
      <c r="B18" s="273"/>
      <c r="C18" s="273"/>
      <c r="D18" s="273"/>
      <c r="E18" s="273"/>
      <c r="F18" s="273"/>
      <c r="G18" s="273"/>
      <c r="H18" s="273"/>
      <c r="I18" s="42">
        <v>13</v>
      </c>
      <c r="J18" s="44"/>
      <c r="K18" s="44"/>
    </row>
    <row r="19" spans="1:11" ht="12.75">
      <c r="A19" s="272" t="s">
        <v>261</v>
      </c>
      <c r="B19" s="273"/>
      <c r="C19" s="273"/>
      <c r="D19" s="273"/>
      <c r="E19" s="273"/>
      <c r="F19" s="273"/>
      <c r="G19" s="273"/>
      <c r="H19" s="273"/>
      <c r="I19" s="42">
        <v>14</v>
      </c>
      <c r="J19" s="44"/>
      <c r="K19" s="44"/>
    </row>
    <row r="20" spans="1:11" ht="12.75">
      <c r="A20" s="272" t="s">
        <v>262</v>
      </c>
      <c r="B20" s="273"/>
      <c r="C20" s="273"/>
      <c r="D20" s="273"/>
      <c r="E20" s="273"/>
      <c r="F20" s="273"/>
      <c r="G20" s="273"/>
      <c r="H20" s="273"/>
      <c r="I20" s="42">
        <v>15</v>
      </c>
      <c r="J20" s="44"/>
      <c r="K20" s="44"/>
    </row>
    <row r="21" spans="1:11" ht="12.75">
      <c r="A21" s="272" t="s">
        <v>263</v>
      </c>
      <c r="B21" s="273"/>
      <c r="C21" s="273"/>
      <c r="D21" s="273"/>
      <c r="E21" s="273"/>
      <c r="F21" s="273"/>
      <c r="G21" s="273"/>
      <c r="H21" s="273"/>
      <c r="I21" s="42">
        <v>16</v>
      </c>
      <c r="J21" s="44"/>
      <c r="K21" s="44"/>
    </row>
    <row r="22" spans="1:11" ht="12.75">
      <c r="A22" s="274" t="s">
        <v>264</v>
      </c>
      <c r="B22" s="275"/>
      <c r="C22" s="275"/>
      <c r="D22" s="275"/>
      <c r="E22" s="275"/>
      <c r="F22" s="275"/>
      <c r="G22" s="275"/>
      <c r="H22" s="275"/>
      <c r="I22" s="42">
        <v>17</v>
      </c>
      <c r="J22" s="121">
        <f>SUM(J16:J21)</f>
        <v>0</v>
      </c>
      <c r="K22" s="121">
        <f>SUM(K16:K21)</f>
        <v>0</v>
      </c>
    </row>
    <row r="23" spans="1:11" ht="12.75">
      <c r="A23" s="276"/>
      <c r="B23" s="277"/>
      <c r="C23" s="277"/>
      <c r="D23" s="277"/>
      <c r="E23" s="277"/>
      <c r="F23" s="277"/>
      <c r="G23" s="277"/>
      <c r="H23" s="277"/>
      <c r="I23" s="278"/>
      <c r="J23" s="278"/>
      <c r="K23" s="279"/>
    </row>
    <row r="24" spans="1:11" ht="12.75">
      <c r="A24" s="264" t="s">
        <v>265</v>
      </c>
      <c r="B24" s="265"/>
      <c r="C24" s="265"/>
      <c r="D24" s="265"/>
      <c r="E24" s="265"/>
      <c r="F24" s="265"/>
      <c r="G24" s="265"/>
      <c r="H24" s="265"/>
      <c r="I24" s="45">
        <v>18</v>
      </c>
      <c r="J24" s="43">
        <f>J15-J25</f>
        <v>579323990</v>
      </c>
      <c r="K24" s="43">
        <f>K15-K25</f>
        <v>434931550</v>
      </c>
    </row>
    <row r="25" spans="1:11" ht="17.25" customHeight="1">
      <c r="A25" s="266" t="s">
        <v>266</v>
      </c>
      <c r="B25" s="267"/>
      <c r="C25" s="267"/>
      <c r="D25" s="267"/>
      <c r="E25" s="267"/>
      <c r="F25" s="267"/>
      <c r="G25" s="267"/>
      <c r="H25" s="267"/>
      <c r="I25" s="46">
        <v>19</v>
      </c>
      <c r="J25" s="69">
        <f>J14</f>
        <v>4975338</v>
      </c>
      <c r="K25" s="69">
        <f>K14</f>
        <v>4411061</v>
      </c>
    </row>
    <row r="26" spans="1:11" ht="30" customHeight="1">
      <c r="A26" s="268" t="s">
        <v>267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</row>
  </sheetData>
  <sheetProtection/>
  <protectedRanges>
    <protectedRange sqref="E2:E3" name="Range1_1"/>
    <protectedRange sqref="G2:H3" name="Range1"/>
  </protectedRanges>
  <mergeCells count="26">
    <mergeCell ref="A4:H4"/>
    <mergeCell ref="A5:H5"/>
    <mergeCell ref="A3:K3"/>
    <mergeCell ref="A2:K2"/>
    <mergeCell ref="A6:H6"/>
    <mergeCell ref="A7:H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dataValidations count="3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49">
      <selection activeCell="L100" sqref="L10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6" t="s">
        <v>245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ht="12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Anamarija Boskovic</cp:lastModifiedBy>
  <cp:lastPrinted>2014-02-14T08:23:34Z</cp:lastPrinted>
  <dcterms:created xsi:type="dcterms:W3CDTF">2008-10-17T11:51:54Z</dcterms:created>
  <dcterms:modified xsi:type="dcterms:W3CDTF">2014-02-14T10:46:25Z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