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'Bilješke'!$A$1:$J$98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<sst xmlns="http://schemas.openxmlformats.org/spreadsheetml/2006/main" count="341" uniqueCount="309">
  <si>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</si>
  <si>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</si>
  <si>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</si>
  <si>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</si>
  <si>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</si>
  <si>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</si>
  <si>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</si>
  <si>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</si>
  <si>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</si>
  <si>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</si>
  <si>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</si>
  <si>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</si>
  <si>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</si>
  <si>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</si>
  <si>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</si>
  <si>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</si>
  <si>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</si>
  <si>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</si>
  <si>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</si>
  <si>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</si>
  <si>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</si>
  <si>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</si>
  <si>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</si>
  <si>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</si>
  <si>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</si>
  <si>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</si>
  <si>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</si>
  <si>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</si>
  <si>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</si>
  <si>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</si>
  <si>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</si>
  <si>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</si>
  <si>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</si>
  <si>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</si>
  <si>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</si>
  <si>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</si>
  <si>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</si>
  <si>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</si>
  <si>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</si>
  <si>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</si>
  <si>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</si>
  <si>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</si>
  <si>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</si>
  <si>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</si>
  <si>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</si>
  <si>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</si>
  <si>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</si>
  <si>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</si>
  <si>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</si>
  <si>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</si>
  <si>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</si>
  <si>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</si>
  <si>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</si>
  <si>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</si>
  <si>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</si>
  <si>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</si>
  <si>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</si>
  <si>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</si>
  <si>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</si>
  <si>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</si>
  <si>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</si>
  <si>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</si>
  <si>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</si>
  <si>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</si>
  <si>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</si>
  <si>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</si>
  <si>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</si>
  <si>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</si>
  <si>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</si>
  <si>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</si>
  <si>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</si>
  <si>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</si>
  <si>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</si>
  <si>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</si>
  <si>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</si>
  <si>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</si>
  <si>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</si>
  <si>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</si>
  <si>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</si>
  <si>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</si>
  <si>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</si>
  <si>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</si>
  <si>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</si>
  <si>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</si>
  <si>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</si>
  <si>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</si>
  <si>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</si>
  <si>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</si>
  <si>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</si>
  <si>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</si>
  <si>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</si>
  <si>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</si>
  <si>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</si>
  <si>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</si>
  <si>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</si>
  <si>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</si>
  <si>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</si>
  <si>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</si>
  <si>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</si>
  <si>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</si>
  <si>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</si>
  <si>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</si>
  <si>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</si>
  <si>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</si>
  <si>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</si>
  <si>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</si>
  <si>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</si>
  <si>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</si>
  <si>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</si>
  <si>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</si>
  <si>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</si>
  <si>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</si>
  <si>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</si>
  <si>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</si>
  <si>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</si>
  <si>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</si>
  <si>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</si>
  <si>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</si>
  <si>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</si>
  <si>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</si>
  <si>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</si>
  <si>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</si>
  <si>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</si>
  <si>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</si>
  <si>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</si>
  <si>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</si>
  <si>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</si>
  <si>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</si>
  <si>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</si>
  <si>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</si>
  <si>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</si>
  <si>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</si>
  <si>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</si>
  <si>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</si>
  <si>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</si>
  <si>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</si>
  <si>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</si>
  <si>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</si>
  <si>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</si>
  <si>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</si>
  <si>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</si>
  <si>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</si>
  <si>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</si>
  <si>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</si>
  <si>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</si>
  <si>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</si>
  <si>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</si>
  <si>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</si>
  <si>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</si>
  <si>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</si>
  <si>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</si>
  <si>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</si>
  <si>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</si>
  <si>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</si>
  <si>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</si>
  <si>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</si>
  <si>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</si>
  <si>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</si>
  <si>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</si>
  <si>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</si>
  <si>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</si>
  <si>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</si>
  <si>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</si>
  <si>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</si>
  <si>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</si>
  <si>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</si>
  <si>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</si>
  <si>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</si>
  <si>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</si>
  <si>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</si>
  <si>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</si>
  <si>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</si>
  <si>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</si>
  <si>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</si>
  <si>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</si>
  <si>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</si>
  <si>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</si>
  <si>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</si>
  <si>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</si>
  <si>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</si>
  <si>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</si>
  <si>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</si>
  <si>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</si>
  <si>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</si>
  <si>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</si>
  <si>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</si>
  <si>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</si>
  <si>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</si>
  <si>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</si>
  <si>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</si>
  <si>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</si>
  <si>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</si>
  <si>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</si>
  <si>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</si>
  <si>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</si>
  <si>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</si>
  <si>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</si>
  <si>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</si>
  <si>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</si>
  <si>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</si>
  <si>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</si>
  <si>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</si>
  <si>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</si>
  <si>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</si>
  <si>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</si>
  <si>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</si>
  <si>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</si>
  <si>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</si>
  <si>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</si>
  <si>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</si>
  <si>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</si>
  <si>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</si>
  <si>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</si>
  <si>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</si>
  <si>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</si>
  <si>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</si>
  <si>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</si>
  <si>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</si>
  <si>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</si>
  <si>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</si>
  <si>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</si>
  <si>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</si>
  <si>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</si>
  <si>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</si>
  <si>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</si>
  <si>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</si>
  <si>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</si>
  <si>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</si>
  <si>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</si>
  <si>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</si>
  <si>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</si>
  <si>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</si>
  <si>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</si>
  <si>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</si>
  <si>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</si>
  <si>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</si>
  <si>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</si>
  <si>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</si>
  <si>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</si>
  <si>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</si>
  <si>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</si>
  <si>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</si>
  <si>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</si>
  <si>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</si>
  <si>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</si>
  <si>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</si>
  <si>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</si>
  <si>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</si>
  <si>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</si>
  <si>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</si>
  <si>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</si>
  <si>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</si>
  <si>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</si>
  <si>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</si>
  <si>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</si>
  <si>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</si>
  <si>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</si>
  <si>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</si>
  <si>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</si>
  <si>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</si>
  <si>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</si>
  <si>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</si>
  <si>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</si>
  <si>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</si>
  <si>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</si>
  <si>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</si>
  <si>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</si>
  <si>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</si>
  <si>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</si>
  <si>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</si>
  <si>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</si>
  <si>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</si>
  <si>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</si>
  <si>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</si>
  <si>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</si>
  <si>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</si>
  <si>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</si>
  <si>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</si>
  <si>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</si>
  <si>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</si>
  <si>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</si>
  <si>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</si>
  <si>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</si>
  <si>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</si>
  <si>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</si>
  <si>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</si>
  <si>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</si>
  <si>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</si>
  <si>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</si>
  <si>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</si>
  <si>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</si>
  <si>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</si>
  <si>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</t>
  </si>
  <si>
    <t>NE</t>
  </si>
  <si>
    <t>MARIĆ MARINA</t>
  </si>
  <si>
    <t>044-647-829</t>
  </si>
  <si>
    <t>044-682-819</t>
  </si>
  <si>
    <t>marina.maric@petrokemija.hr</t>
  </si>
  <si>
    <t>20.15</t>
  </si>
  <si>
    <t>Obveznik: PETROKEMIJA d.d.</t>
  </si>
  <si>
    <t>01.01.2012.</t>
  </si>
  <si>
    <t>JAGUŠT JOSIP,  PEROŠEVIĆ-GALOVIĆ ANTONIJA</t>
  </si>
  <si>
    <t>AKTIVA</t>
  </si>
  <si>
    <t>Bilješke uz financijske izvještaje</t>
  </si>
  <si>
    <t>31.12.2012.</t>
  </si>
  <si>
    <t>stanje na dan 31.12.2012.</t>
  </si>
  <si>
    <t>u razdoblju 01.01.2012. do 31.12.2012.</t>
  </si>
  <si>
    <t>PETROKEMIJA, d.d. tvornica gnojiva</t>
  </si>
  <si>
    <t>za razdoblje od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</si>
</sst>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5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5" xfId="17" applyFont="1" applyFill="1" applyBorder="1" applyAlignment="1" applyProtection="1">
      <alignment/>
      <protection hidden="1"/>
    </xf>
    <xf numFmtId="0" fontId="3" fillId="0" borderId="15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5" xfId="17" applyFont="1" applyFill="1" applyBorder="1" applyAlignment="1" applyProtection="1">
      <alignment horizontal="right" vertical="center"/>
      <protection hidden="1" locked="0"/>
    </xf>
    <xf numFmtId="0" fontId="3" fillId="0" borderId="15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5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5" xfId="17" applyFont="1" applyBorder="1" applyAlignment="1" applyProtection="1">
      <alignment horizontal="left" vertical="top" indent="2"/>
      <protection hidden="1"/>
    </xf>
    <xf numFmtId="0" fontId="3" fillId="0" borderId="15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5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5" xfId="17" applyFont="1" applyBorder="1" applyAlignment="1" applyProtection="1">
      <alignment horizontal="left"/>
      <protection hidden="1"/>
    </xf>
    <xf numFmtId="0" fontId="3" fillId="0" borderId="14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5" xfId="17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7" xfId="17" applyFont="1" applyBorder="1" applyProtection="1">
      <alignment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Protection="1">
      <alignment/>
      <protection hidden="1"/>
    </xf>
    <xf numFmtId="0" fontId="3" fillId="0" borderId="20" xfId="17" applyFont="1" applyFill="1" applyBorder="1" applyProtection="1">
      <alignment/>
      <protection hidden="1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21" xfId="0" applyFill="1" applyBorder="1" applyAlignment="1">
      <alignment/>
    </xf>
    <xf numFmtId="0" fontId="0" fillId="0" borderId="0" xfId="15" applyFont="1" applyFill="1" applyBorder="1" applyAlignment="1">
      <alignment wrapText="1"/>
      <protection/>
    </xf>
    <xf numFmtId="14" fontId="18" fillId="0" borderId="12" xfId="1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9" fillId="0" borderId="0" xfId="15" applyFont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5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19" xfId="17" applyFont="1" applyFill="1" applyBorder="1" applyAlignment="1">
      <alignment/>
      <protection/>
    </xf>
    <xf numFmtId="0" fontId="3" fillId="0" borderId="20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2" fillId="0" borderId="18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5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5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5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5" xfId="17" applyFont="1" applyBorder="1" applyAlignment="1" applyProtection="1">
      <alignment horizontal="right" wrapText="1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3" fillId="0" borderId="19" xfId="17" applyFont="1" applyFill="1" applyBorder="1" applyAlignment="1">
      <alignment horizontal="left" vertical="center"/>
      <protection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16" applyFill="1" applyBorder="1" applyAlignment="1" applyProtection="1">
      <alignment/>
      <protection hidden="1" locked="0"/>
    </xf>
    <xf numFmtId="0" fontId="2" fillId="0" borderId="19" xfId="17" applyFont="1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3" fillId="0" borderId="19" xfId="17" applyFont="1" applyFill="1" applyBorder="1" applyAlignment="1">
      <alignment horizontal="left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19" xfId="17" applyFont="1" applyFill="1" applyBorder="1" applyAlignment="1" applyProtection="1">
      <alignment horizontal="center" vertical="top"/>
      <protection hidden="1"/>
    </xf>
    <xf numFmtId="0" fontId="3" fillId="0" borderId="19" xfId="17" applyFont="1" applyFill="1" applyBorder="1" applyAlignment="1" applyProtection="1">
      <alignment horizontal="center"/>
      <protection hidden="1"/>
    </xf>
    <xf numFmtId="49" fontId="4" fillId="0" borderId="18" xfId="16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10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9" xfId="15" applyFont="1" applyFill="1" applyBorder="1" applyAlignment="1" applyProtection="1">
      <alignment horizontal="center" vertical="center"/>
      <protection hidden="1"/>
    </xf>
    <xf numFmtId="0" fontId="10" fillId="0" borderId="13" xfId="15" applyFont="1" applyFill="1" applyBorder="1" applyAlignment="1" applyProtection="1">
      <alignment horizontal="left" vertical="center"/>
      <protection hidden="1"/>
    </xf>
    <xf numFmtId="0" fontId="10" fillId="0" borderId="28" xfId="15" applyFont="1" applyFill="1" applyBorder="1" applyAlignment="1" applyProtection="1">
      <alignment horizontal="left" vertical="center"/>
      <protection hidden="1"/>
    </xf>
    <xf numFmtId="0" fontId="10" fillId="0" borderId="29" xfId="15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20" fillId="0" borderId="0" xfId="15" applyFont="1" applyBorder="1" applyAlignment="1">
      <alignment horizontal="justify" vertical="top" wrapText="1"/>
      <protection/>
    </xf>
    <xf numFmtId="0" fontId="20" fillId="0" borderId="0" xfId="15" applyFont="1" applyBorder="1" applyAlignment="1">
      <alignment horizontal="justify" vertical="top" wrapText="1"/>
      <protection/>
    </xf>
    <xf numFmtId="0" fontId="20" fillId="0" borderId="0" xfId="15" applyFont="1" applyBorder="1" applyAlignment="1">
      <alignment horizontal="justify" vertical="top" wrapText="1"/>
      <protection/>
    </xf>
    <xf numFmtId="0" fontId="20" fillId="0" borderId="0" xfId="15" applyFont="1" applyBorder="1" applyAlignment="1">
      <alignment horizontal="justify" vertical="top" wrapText="1"/>
      <protection/>
    </xf>
    <xf numFmtId="0" fontId="20" fillId="0" borderId="0" xfId="15" applyFont="1" applyBorder="1" applyAlignment="1">
      <alignment horizontal="justify" vertical="top" wrapText="1"/>
      <protection/>
    </xf>
    <xf numFmtId="0" fontId="20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</xdr:rowOff>
    </xdr:from>
    <xdr:to>
      <xdr:col>9</xdr:col>
      <xdr:colOff>476250</xdr:colOff>
      <xdr:row>97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33400"/>
          <a:ext cx="5829300" cy="1531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PETROKEMIJA  d.d.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2012. godini Petrokemija d.d. ostvarila je ukupne prihode 3.030,1 milijuna kuna, ukupne rashode od 3.208.1 milijuna kuna te je iskazala gubitak u poslovanju od 178,0 milijuna kuna ili 5,9% od ukupnih prihoda. Na godišnjoj razini ukupni prihodi porasli su u odnosu na 2011.g. 2,0%, a ukupni rashodi veći su za 12,1%. Glavninu ovog dispariteta generirao je izraziti rast cijene prirodnog plina.
U strukturi gubitka 152,1 milijuna kuna ili 85,5% ostvareno je iz poslovnih aktivnosti, a 25,9 milijuna kuna ili 14,5% iz financijskog poslovanja. Pokazatelj EBITDA (dobit prije kamata, poreza i amortizacije) je negativan u iznosu od 53,3 milijuna kuna. 
U izvještajnom razdoblju ostvareni su 2,0% veći poslovni prihodi od 2011. godine, unatoč manjeg količinskog ostvarenja prodaje. Ukupna prodaja gnojiva manja je 6,2% u odnosu na prethodnu godinu, što ukazuje na rast prosječnih ostvarenih prodajnih cijena, ali na razini koja (u uvjetima vrlo jake konkurencije) nije mogla pokriti rast troškova.
Veće ostvarenje poslovnih rashoda u odnosu na prethodnu godinu odraz je rasta ulaznih cijena sirovina, prije svega prirodnog plina. Prosječna ostvarena nabavna cijena plina u 2012. godini viša je 31,1% od 2011. godine, a čak 71,0% u odnosu na 2010. godine (kumulativni rast). Tako visoki rast cijene osnovne sirovine, koja u izvještajnom razdoblju ima udjel u ukupnim rashodima od 57%, nije mogao biti pokriven mjerama povećanja prihoda i štednje, koje je poduzimala uprava Društva i to je dovelo do iskazivanja gubitka. 
Uz visoku cijenu plina, kao osnovni uzrok iskazivanja gubitka, sljedeći po važnosti je utjecaj smanjivanja količina proizvodnje i prodaje, što je utjecalo na rast fiksnih troškova po jedinici proizvoda, iako su ovi troškovi u masi ostvareni približno na razini ostvarenja u prethodnoj godini. U 2012. godini Petrokemija je, u odnosu na prošlu godinu, ostvarila manju proizvodnju 10,2%, najvećim dijelom zbog tržišnih razloga, kako bi uravnotežila dinamiku zaliha i isporuka gnojiva na prihvatljivoj razini, a jednim dijelom i zbog neplaniranih zastoja u proizvodnji. 
Prirodni plin kao najvažnija sirovina nabavlja se na domaćem tržištu prema tzv „ruskoj formuli“ temeljenoj na cijeni naftnih derivata i cijeni plina izraženoj u USD. Petrokemija d.d. nije u razdoblju od rujna 2011. do rujna 2012. godine bila obuhvaćena Odlukom Vlade RH o najvišoj razini cijene plina za povlaštene potrošače, a u normativnom dijelu tržišta plina nije imala mogućnost istovremene kupnje od više dobavljača. Stoga je u svom financijskom rezultatu podnijela sav teret izrazitog rasta cijene prirodnog plina, što je imalo značajnog utjecaja na rast troškova i iskazivanje gubitka. Od trećeg tromjesečja 2012. godine Petrokemija d.d. je na bazi odgovarajućih odluka Vlade RH, vezanih uz normativno definiranje tržišta plina u Republici Hrvatskoj, konačno bila u mogućnosti kupovati plin od više dobavljača. Količine plina dobavljene po nižoj cijeni od inozemnog dobavljača E.ON Ruhrgas AG i Prvog plinarskog društva d.o.o. iz Vukovara, djelomično su ublažile troškovni udar s kojim je Društvo bilo suočeno tijekom izvještajnog razdoblja. 
Nažalost, prethodna ugovorna ograničenja sprječavaju Društvo da u 2013. godini značajnije količine nabavi na slobodnom tržištu, tako da se približno dvadeset posto količina može nabaviti na slobodnom tržištu. Petrokemija d.d. zaključila je 15. siječnja 2013. godine Ugovor o isporuci 130 milijuna Sm3 prirodnog plina s Prvim plinarskim društvom d.o.o. iz Vukovara (u ime GAZPROM  Schweiz AG).
U trenutku sastavljanja ovih financijskih izvještaja Petrokemija d.d. vodi pregovore o tekućim isporukama i budućoj suradnji i sa svojim sadašnjim ugovornim dobavljačem - Prirodnim plinom d.o.o. iz Zagreba, trgovačkim društvom u vlasništvu INA Industrije nafte d.d. Zagreb.
Zbog tržišnih razloga dio postrojenja je u zastoju od polovice 2009.g. i s tim problemom se ušlo i u 2013.g. Kriza izazvana neskladom ulazno-izlaznih cijena na tržištu čađe još uvijek je prisutna. Otvorenost Petrokemije d.d. kretanjima na svjetskom tržištu otvara značajne rizike mogućih cjenovnih i financijskih oscilacija i u 2013. godini. 
Uz vlastita obrtna sredstva, kratkoročne kredite banaka i dugoročne kredite HBOR-a, Petrokemija je izvor financiranja obrtnih sredstava jednim dijelom osigurala i izdavanjem komercijalnih zapisa na Zagrebačkoj burzi, putem Privredne banke Zagreb kao agenta i dilera programa. 
Zbog dugih rokova naplate potraživanja za gnojivo na domaćem tržištu te problema likvidnosti domaćih kupaca i zbog nedostatka vlastitih obrtnih sredstava, Petrokemija d.d. koristi faktoring kao oblik financiranja i naplate potraživanja u ugovorenim valutama plaćanja (uz obvezu kupca da snosi sve troškove i kamate vezane uz otkupe potraživanja).
U iskazivanju stanja kratkotrajne imovine (potraživanja od kupaca) i kratkoročnih obveza (potencijalnih regresnih obveza prema faktoring društvima, u slučaju da dužnik ne podmiri svoju obvezu), Petrokemija d.d. je na 31.12.2012. godine uključila ove obveze i potraživanja u Bilancu. Na bilančnim pozicijama iskazani su u kratkotrajnoj imovini i obvezama u iznosu 224,16 milijuna kuna. 
U usporedbi sa stanjima na dan 31.12.2011. godine, kada su ove transakcije iskazivane u evidencijama izvan Bilance Društva, to je značajno povećalo razinu iskazane imovine i obveza na tim bilančnim pozicijama, pa su u Izvješću prikazana usporediva stanja kratkotrajne imovine i kratkoročnih obveza na 31.12.2012. i 31. 12. 2011. godine.
Na buduće kretanje financijskog rezultata Petrokemije d.d. utjecati će brojni činitelji. Osim cijene plina, koja se dominantno definira na domaćem tržištu, većina budućih rizika dolazi iz međunarodnog okruženja, a pretežito kroz:
1. Promjene cijena osnovnih sirovina na svjetskom tržištu (MAP, DAP, fosfat, kalijev klorid, sumpor),
2. Promjene razine potražnje i prodajnih cijena mineralnih gnojiva,
3. Kretanje cijena energenata - plina i lož ulja,
4. Kretanje cijena osnovnih poljoprivrednih kultura,
5. Tečaj USD i EUR-a prema domaćoj valuti,
6. Troškove financiranja i međuvalutarne odnose.
Krajem drugog tromjesečja Petrokemija d.d. je kupila 6.030 poslovnih udjela trgovačkog društva “Luka Šibenik”d.o.o. u vrijednosti 24.253.051 kuna, čime je Petrokemija d.d. postala vlasnik ukupno 79,72% udjela u ovom trgovačkom društvu.
Luka Šibenik je od strateškog interesa za poslovanje Petrokemije d.d. jer se većina sirovina iz prekomorskih zemalja doprema, a značajan dio izvoza gotovih proizvoda otprema putem morske luke u Šibeniku. U trenutku izrade ovog Izvješća u tijeku je procjena vrijednosti društva Luka Šibenik d.o.o., kako bi se odredila vrijednost goodwill-a udjela društva Petrokemija d.d. u društvu Luka Šibenik d.o.o. U revidiranom Izvješću o poslovanju za 2012. godinu i financijskim izvještajima za Grupu Petrokemija biti će objavljeni kvantificirani učinci ove procjene na rezultat Grupe Petrokemija (fer vrijednost goodwilla i test umanjenja) na dan 31.12.2012. godine.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SheetLayoutView="100" workbookViewId="0" topLeftCell="A1">
      <selection activeCell="A10" sqref="A10:J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8.140625" style="11" customWidth="1"/>
    <col min="5" max="5" width="11.710937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213</v>
      </c>
      <c r="B1" s="177"/>
      <c r="C1" s="177"/>
      <c r="D1" s="72"/>
      <c r="E1" s="72"/>
      <c r="F1" s="72"/>
      <c r="G1" s="72"/>
      <c r="H1" s="72"/>
      <c r="I1" s="73"/>
      <c r="J1" s="10"/>
      <c r="K1" s="10"/>
      <c r="L1" s="10"/>
    </row>
    <row r="2" spans="1:12" ht="15">
      <c r="A2" s="151" t="s">
        <v>214</v>
      </c>
      <c r="B2" s="152"/>
      <c r="C2" s="152"/>
      <c r="D2" s="153"/>
      <c r="E2" s="124" t="s">
        <v>300</v>
      </c>
      <c r="F2" s="12"/>
      <c r="G2" s="13" t="s">
        <v>215</v>
      </c>
      <c r="H2" s="124" t="s">
        <v>304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54" t="s">
        <v>279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77"/>
      <c r="B5" s="17"/>
      <c r="C5" s="17"/>
      <c r="D5" s="17"/>
      <c r="E5" s="18"/>
      <c r="F5" s="78"/>
      <c r="G5" s="19"/>
      <c r="H5" s="20"/>
      <c r="I5" s="79"/>
      <c r="J5" s="10"/>
      <c r="K5" s="10"/>
      <c r="L5" s="10"/>
    </row>
    <row r="6" spans="1:12" ht="12.75">
      <c r="A6" s="157" t="s">
        <v>216</v>
      </c>
      <c r="B6" s="158"/>
      <c r="C6" s="149" t="s">
        <v>285</v>
      </c>
      <c r="D6" s="150"/>
      <c r="E6" s="30"/>
      <c r="F6" s="30"/>
      <c r="G6" s="30"/>
      <c r="H6" s="30"/>
      <c r="I6" s="80"/>
      <c r="J6" s="10"/>
      <c r="K6" s="10"/>
      <c r="L6" s="10"/>
    </row>
    <row r="7" spans="1:12" ht="12.75">
      <c r="A7" s="81"/>
      <c r="B7" s="23"/>
      <c r="C7" s="16"/>
      <c r="D7" s="16"/>
      <c r="E7" s="30"/>
      <c r="F7" s="30"/>
      <c r="G7" s="30"/>
      <c r="H7" s="30"/>
      <c r="I7" s="80"/>
      <c r="J7" s="10"/>
      <c r="K7" s="10"/>
      <c r="L7" s="10"/>
    </row>
    <row r="8" spans="1:12" ht="12.75">
      <c r="A8" s="159" t="s">
        <v>217</v>
      </c>
      <c r="B8" s="160"/>
      <c r="C8" s="149" t="s">
        <v>286</v>
      </c>
      <c r="D8" s="150"/>
      <c r="E8" s="30"/>
      <c r="F8" s="30"/>
      <c r="G8" s="30"/>
      <c r="H8" s="30"/>
      <c r="I8" s="82"/>
      <c r="J8" s="10"/>
      <c r="K8" s="10"/>
      <c r="L8" s="10"/>
    </row>
    <row r="9" spans="1:12" ht="12.75">
      <c r="A9" s="83"/>
      <c r="B9" s="46"/>
      <c r="C9" s="21"/>
      <c r="D9" s="27"/>
      <c r="E9" s="16"/>
      <c r="F9" s="16"/>
      <c r="G9" s="16"/>
      <c r="H9" s="16"/>
      <c r="I9" s="82"/>
      <c r="J9" s="10"/>
      <c r="K9" s="10"/>
      <c r="L9" s="10"/>
    </row>
    <row r="10" spans="1:12" ht="12.75">
      <c r="A10" s="146" t="s">
        <v>218</v>
      </c>
      <c r="B10" s="147"/>
      <c r="C10" s="149" t="s">
        <v>287</v>
      </c>
      <c r="D10" s="150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57" t="s">
        <v>219</v>
      </c>
      <c r="B12" s="158"/>
      <c r="C12" s="161" t="s">
        <v>307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81"/>
      <c r="B13" s="23"/>
      <c r="C13" s="22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57" t="s">
        <v>220</v>
      </c>
      <c r="B14" s="158"/>
      <c r="C14" s="164">
        <v>44320</v>
      </c>
      <c r="D14" s="165"/>
      <c r="E14" s="16"/>
      <c r="F14" s="161" t="s">
        <v>288</v>
      </c>
      <c r="G14" s="162"/>
      <c r="H14" s="162"/>
      <c r="I14" s="163"/>
      <c r="J14" s="10"/>
      <c r="K14" s="10"/>
      <c r="L14" s="10"/>
    </row>
    <row r="15" spans="1:12" ht="12.75">
      <c r="A15" s="81"/>
      <c r="B15" s="23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57" t="s">
        <v>221</v>
      </c>
      <c r="B16" s="158"/>
      <c r="C16" s="161" t="s">
        <v>289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81"/>
      <c r="B17" s="23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57" t="s">
        <v>222</v>
      </c>
      <c r="B18" s="158"/>
      <c r="C18" s="166" t="s">
        <v>290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1"/>
      <c r="B19" s="23"/>
      <c r="C19" s="22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57" t="s">
        <v>223</v>
      </c>
      <c r="B20" s="158"/>
      <c r="C20" s="166" t="s">
        <v>291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1"/>
      <c r="B21" s="23"/>
      <c r="C21" s="22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7" t="s">
        <v>224</v>
      </c>
      <c r="B22" s="158"/>
      <c r="C22" s="109">
        <v>220</v>
      </c>
      <c r="D22" s="161" t="s">
        <v>288</v>
      </c>
      <c r="E22" s="169"/>
      <c r="F22" s="170"/>
      <c r="G22" s="157"/>
      <c r="H22" s="171"/>
      <c r="I22" s="84"/>
      <c r="J22" s="10"/>
      <c r="K22" s="10"/>
      <c r="L22" s="10"/>
    </row>
    <row r="23" spans="1:12" ht="12.75">
      <c r="A23" s="81"/>
      <c r="B23" s="23"/>
      <c r="C23" s="16"/>
      <c r="D23" s="25"/>
      <c r="E23" s="25"/>
      <c r="F23" s="25"/>
      <c r="G23" s="25"/>
      <c r="H23" s="16"/>
      <c r="I23" s="82"/>
      <c r="J23" s="10"/>
      <c r="K23" s="10"/>
      <c r="L23" s="10"/>
    </row>
    <row r="24" spans="1:12" ht="12.75">
      <c r="A24" s="157" t="s">
        <v>225</v>
      </c>
      <c r="B24" s="158"/>
      <c r="C24" s="109">
        <v>3</v>
      </c>
      <c r="D24" s="161" t="s">
        <v>292</v>
      </c>
      <c r="E24" s="169"/>
      <c r="F24" s="169"/>
      <c r="G24" s="170"/>
      <c r="H24" s="47" t="s">
        <v>226</v>
      </c>
      <c r="I24" s="110">
        <v>2294</v>
      </c>
      <c r="J24" s="10"/>
      <c r="K24" s="10"/>
      <c r="L24" s="10"/>
    </row>
    <row r="25" spans="1:12" ht="12.75">
      <c r="A25" s="81"/>
      <c r="B25" s="23"/>
      <c r="C25" s="16"/>
      <c r="D25" s="25"/>
      <c r="E25" s="25"/>
      <c r="F25" s="25"/>
      <c r="G25" s="23"/>
      <c r="H25" s="23" t="s">
        <v>280</v>
      </c>
      <c r="I25" s="85"/>
      <c r="J25" s="10"/>
      <c r="K25" s="10"/>
      <c r="L25" s="10"/>
    </row>
    <row r="26" spans="1:12" ht="12.75">
      <c r="A26" s="157" t="s">
        <v>227</v>
      </c>
      <c r="B26" s="158"/>
      <c r="C26" s="111" t="s">
        <v>293</v>
      </c>
      <c r="D26" s="26"/>
      <c r="E26" s="86"/>
      <c r="F26" s="87"/>
      <c r="G26" s="172" t="s">
        <v>228</v>
      </c>
      <c r="H26" s="158"/>
      <c r="I26" s="112" t="s">
        <v>298</v>
      </c>
      <c r="J26" s="10"/>
      <c r="K26" s="10"/>
      <c r="L26" s="10"/>
    </row>
    <row r="27" spans="1:12" ht="12.75">
      <c r="A27" s="81"/>
      <c r="B27" s="23"/>
      <c r="C27" s="16"/>
      <c r="D27" s="87"/>
      <c r="E27" s="87"/>
      <c r="F27" s="87"/>
      <c r="G27" s="87"/>
      <c r="H27" s="16"/>
      <c r="I27" s="88"/>
      <c r="J27" s="10"/>
      <c r="K27" s="10"/>
      <c r="L27" s="10"/>
    </row>
    <row r="28" spans="1:12" ht="12.75">
      <c r="A28" s="173" t="s">
        <v>229</v>
      </c>
      <c r="B28" s="174"/>
      <c r="C28" s="144"/>
      <c r="D28" s="144"/>
      <c r="E28" s="145" t="s">
        <v>230</v>
      </c>
      <c r="F28" s="140"/>
      <c r="G28" s="140"/>
      <c r="H28" s="141" t="s">
        <v>231</v>
      </c>
      <c r="I28" s="142"/>
      <c r="J28" s="10"/>
      <c r="K28" s="10"/>
      <c r="L28" s="10"/>
    </row>
    <row r="29" spans="1:12" ht="12.75">
      <c r="A29" s="89"/>
      <c r="B29" s="86"/>
      <c r="C29" s="86"/>
      <c r="D29" s="27"/>
      <c r="E29" s="16"/>
      <c r="F29" s="16"/>
      <c r="G29" s="16"/>
      <c r="H29" s="28"/>
      <c r="I29" s="88"/>
      <c r="J29" s="10"/>
      <c r="K29" s="10"/>
      <c r="L29" s="10"/>
    </row>
    <row r="30" spans="1:12" ht="12.75">
      <c r="A30" s="143"/>
      <c r="B30" s="136"/>
      <c r="C30" s="136"/>
      <c r="D30" s="137"/>
      <c r="E30" s="143"/>
      <c r="F30" s="136"/>
      <c r="G30" s="136"/>
      <c r="H30" s="149"/>
      <c r="I30" s="150"/>
      <c r="J30" s="10"/>
      <c r="K30" s="10"/>
      <c r="L30" s="10"/>
    </row>
    <row r="31" spans="1:12" ht="12.75">
      <c r="A31" s="81"/>
      <c r="B31" s="23"/>
      <c r="C31" s="22"/>
      <c r="D31" s="138"/>
      <c r="E31" s="138"/>
      <c r="F31" s="138"/>
      <c r="G31" s="139"/>
      <c r="H31" s="16"/>
      <c r="I31" s="90"/>
      <c r="J31" s="10"/>
      <c r="K31" s="10"/>
      <c r="L31" s="10"/>
    </row>
    <row r="32" spans="1:12" ht="12.75">
      <c r="A32" s="143"/>
      <c r="B32" s="136"/>
      <c r="C32" s="136"/>
      <c r="D32" s="137"/>
      <c r="E32" s="143"/>
      <c r="F32" s="136"/>
      <c r="G32" s="136"/>
      <c r="H32" s="149"/>
      <c r="I32" s="150"/>
      <c r="J32" s="10"/>
      <c r="K32" s="10"/>
      <c r="L32" s="10"/>
    </row>
    <row r="33" spans="1:12" ht="12.75">
      <c r="A33" s="81"/>
      <c r="B33" s="23"/>
      <c r="C33" s="22"/>
      <c r="D33" s="29"/>
      <c r="E33" s="29"/>
      <c r="F33" s="29"/>
      <c r="G33" s="30"/>
      <c r="H33" s="16"/>
      <c r="I33" s="91"/>
      <c r="J33" s="10"/>
      <c r="K33" s="10"/>
      <c r="L33" s="10"/>
    </row>
    <row r="34" spans="1:12" ht="12.75">
      <c r="A34" s="143"/>
      <c r="B34" s="136"/>
      <c r="C34" s="136"/>
      <c r="D34" s="137"/>
      <c r="E34" s="143"/>
      <c r="F34" s="136"/>
      <c r="G34" s="136"/>
      <c r="H34" s="149"/>
      <c r="I34" s="150"/>
      <c r="J34" s="10"/>
      <c r="K34" s="10"/>
      <c r="L34" s="10"/>
    </row>
    <row r="35" spans="1:12" ht="12.75">
      <c r="A35" s="81"/>
      <c r="B35" s="23"/>
      <c r="C35" s="22"/>
      <c r="D35" s="29"/>
      <c r="E35" s="29"/>
      <c r="F35" s="29"/>
      <c r="G35" s="30"/>
      <c r="H35" s="16"/>
      <c r="I35" s="91"/>
      <c r="J35" s="10"/>
      <c r="K35" s="10"/>
      <c r="L35" s="10"/>
    </row>
    <row r="36" spans="1:12" ht="12.75">
      <c r="A36" s="143"/>
      <c r="B36" s="136"/>
      <c r="C36" s="136"/>
      <c r="D36" s="137"/>
      <c r="E36" s="143"/>
      <c r="F36" s="136"/>
      <c r="G36" s="136"/>
      <c r="H36" s="149"/>
      <c r="I36" s="150"/>
      <c r="J36" s="10"/>
      <c r="K36" s="10"/>
      <c r="L36" s="10"/>
    </row>
    <row r="37" spans="1:12" ht="12.75">
      <c r="A37" s="92"/>
      <c r="B37" s="31"/>
      <c r="C37" s="128"/>
      <c r="D37" s="129"/>
      <c r="E37" s="16"/>
      <c r="F37" s="128"/>
      <c r="G37" s="129"/>
      <c r="H37" s="16"/>
      <c r="I37" s="82"/>
      <c r="J37" s="10"/>
      <c r="K37" s="10"/>
      <c r="L37" s="10"/>
    </row>
    <row r="38" spans="1:12" ht="12.75">
      <c r="A38" s="143"/>
      <c r="B38" s="136"/>
      <c r="C38" s="136"/>
      <c r="D38" s="137"/>
      <c r="E38" s="143"/>
      <c r="F38" s="136"/>
      <c r="G38" s="136"/>
      <c r="H38" s="149"/>
      <c r="I38" s="150"/>
      <c r="J38" s="10"/>
      <c r="K38" s="10"/>
      <c r="L38" s="10"/>
    </row>
    <row r="39" spans="1:12" ht="12.75">
      <c r="A39" s="92"/>
      <c r="B39" s="31"/>
      <c r="C39" s="32"/>
      <c r="D39" s="33"/>
      <c r="E39" s="16"/>
      <c r="F39" s="32"/>
      <c r="G39" s="33"/>
      <c r="H39" s="16"/>
      <c r="I39" s="82"/>
      <c r="J39" s="10"/>
      <c r="K39" s="10"/>
      <c r="L39" s="10"/>
    </row>
    <row r="40" spans="1:12" ht="12.75">
      <c r="A40" s="143"/>
      <c r="B40" s="136"/>
      <c r="C40" s="136"/>
      <c r="D40" s="137"/>
      <c r="E40" s="143"/>
      <c r="F40" s="136"/>
      <c r="G40" s="136"/>
      <c r="H40" s="149"/>
      <c r="I40" s="150"/>
      <c r="J40" s="10"/>
      <c r="K40" s="10"/>
      <c r="L40" s="10"/>
    </row>
    <row r="41" spans="1:12" ht="12.75">
      <c r="A41" s="113"/>
      <c r="B41" s="34"/>
      <c r="C41" s="34"/>
      <c r="D41" s="34"/>
      <c r="E41" s="24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1"/>
      <c r="C42" s="32"/>
      <c r="D42" s="33"/>
      <c r="E42" s="16"/>
      <c r="F42" s="32"/>
      <c r="G42" s="33"/>
      <c r="H42" s="16"/>
      <c r="I42" s="82"/>
      <c r="J42" s="10"/>
      <c r="K42" s="10"/>
      <c r="L42" s="10"/>
    </row>
    <row r="43" spans="1:12" ht="12.75">
      <c r="A43" s="94"/>
      <c r="B43" s="35"/>
      <c r="C43" s="35"/>
      <c r="D43" s="21"/>
      <c r="E43" s="21"/>
      <c r="F43" s="35"/>
      <c r="G43" s="21"/>
      <c r="H43" s="21"/>
      <c r="I43" s="95"/>
      <c r="J43" s="10"/>
      <c r="K43" s="10"/>
      <c r="L43" s="10"/>
    </row>
    <row r="44" spans="1:12" ht="12.75">
      <c r="A44" s="146" t="s">
        <v>232</v>
      </c>
      <c r="B44" s="130"/>
      <c r="C44" s="149"/>
      <c r="D44" s="150"/>
      <c r="E44" s="27"/>
      <c r="F44" s="161"/>
      <c r="G44" s="136"/>
      <c r="H44" s="136"/>
      <c r="I44" s="137"/>
      <c r="J44" s="10"/>
      <c r="K44" s="10"/>
      <c r="L44" s="10"/>
    </row>
    <row r="45" spans="1:12" ht="12.75">
      <c r="A45" s="92"/>
      <c r="B45" s="31"/>
      <c r="C45" s="128"/>
      <c r="D45" s="129"/>
      <c r="E45" s="16"/>
      <c r="F45" s="128"/>
      <c r="G45" s="131"/>
      <c r="H45" s="36"/>
      <c r="I45" s="96"/>
      <c r="J45" s="10"/>
      <c r="K45" s="10"/>
      <c r="L45" s="10"/>
    </row>
    <row r="46" spans="1:12" ht="12.75">
      <c r="A46" s="146" t="s">
        <v>233</v>
      </c>
      <c r="B46" s="130"/>
      <c r="C46" s="161" t="s">
        <v>294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81"/>
      <c r="B47" s="23"/>
      <c r="C47" s="22" t="s">
        <v>234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ht="12.75">
      <c r="A48" s="146" t="s">
        <v>235</v>
      </c>
      <c r="B48" s="130"/>
      <c r="C48" s="134" t="s">
        <v>295</v>
      </c>
      <c r="D48" s="135"/>
      <c r="E48" s="175"/>
      <c r="F48" s="16"/>
      <c r="G48" s="47" t="s">
        <v>236</v>
      </c>
      <c r="H48" s="134" t="s">
        <v>296</v>
      </c>
      <c r="I48" s="175"/>
      <c r="J48" s="10"/>
      <c r="K48" s="10"/>
      <c r="L48" s="10"/>
    </row>
    <row r="49" spans="1:12" ht="12.75">
      <c r="A49" s="81"/>
      <c r="B49" s="23"/>
      <c r="C49" s="22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>
      <c r="A50" s="146" t="s">
        <v>222</v>
      </c>
      <c r="B50" s="130"/>
      <c r="C50" s="184" t="s">
        <v>297</v>
      </c>
      <c r="D50" s="135"/>
      <c r="E50" s="135"/>
      <c r="F50" s="135"/>
      <c r="G50" s="135"/>
      <c r="H50" s="135"/>
      <c r="I50" s="175"/>
      <c r="J50" s="10"/>
      <c r="K50" s="10"/>
      <c r="L50" s="10"/>
    </row>
    <row r="51" spans="1:12" ht="12.75">
      <c r="A51" s="81"/>
      <c r="B51" s="23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5" customHeight="1">
      <c r="A52" s="157" t="s">
        <v>237</v>
      </c>
      <c r="B52" s="158"/>
      <c r="C52" s="134" t="s">
        <v>301</v>
      </c>
      <c r="D52" s="135"/>
      <c r="E52" s="135"/>
      <c r="F52" s="135"/>
      <c r="G52" s="135"/>
      <c r="H52" s="135"/>
      <c r="I52" s="163"/>
      <c r="J52" s="10"/>
      <c r="K52" s="10"/>
      <c r="L52" s="10"/>
    </row>
    <row r="53" spans="1:12" ht="12.75">
      <c r="A53" s="97"/>
      <c r="B53" s="21"/>
      <c r="C53" s="178" t="s">
        <v>238</v>
      </c>
      <c r="D53" s="178"/>
      <c r="E53" s="178"/>
      <c r="F53" s="178"/>
      <c r="G53" s="178"/>
      <c r="H53" s="178"/>
      <c r="I53" s="98"/>
      <c r="J53" s="10"/>
      <c r="K53" s="10"/>
      <c r="L53" s="10"/>
    </row>
    <row r="54" spans="1:12" ht="12.75">
      <c r="A54" s="97"/>
      <c r="B54" s="21"/>
      <c r="C54" s="37"/>
      <c r="D54" s="37"/>
      <c r="E54" s="37"/>
      <c r="F54" s="37"/>
      <c r="G54" s="37"/>
      <c r="H54" s="37"/>
      <c r="I54" s="98"/>
      <c r="J54" s="10"/>
      <c r="K54" s="10"/>
      <c r="L54" s="10"/>
    </row>
    <row r="55" spans="1:12" ht="12.75">
      <c r="A55" s="97"/>
      <c r="B55" s="185" t="s">
        <v>239</v>
      </c>
      <c r="C55" s="186"/>
      <c r="D55" s="186"/>
      <c r="E55" s="186"/>
      <c r="F55" s="45"/>
      <c r="G55" s="45"/>
      <c r="H55" s="45"/>
      <c r="I55" s="99"/>
      <c r="J55" s="10"/>
      <c r="K55" s="10"/>
      <c r="L55" s="10"/>
    </row>
    <row r="56" spans="1:12" ht="12.75">
      <c r="A56" s="97"/>
      <c r="B56" s="187" t="s">
        <v>269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97"/>
      <c r="B57" s="187" t="s">
        <v>270</v>
      </c>
      <c r="C57" s="188"/>
      <c r="D57" s="188"/>
      <c r="E57" s="188"/>
      <c r="F57" s="188"/>
      <c r="G57" s="188"/>
      <c r="H57" s="188"/>
      <c r="I57" s="99"/>
      <c r="J57" s="10"/>
      <c r="K57" s="10"/>
      <c r="L57" s="10"/>
    </row>
    <row r="58" spans="1:12" ht="12.75">
      <c r="A58" s="97"/>
      <c r="B58" s="187" t="s">
        <v>271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97"/>
      <c r="B59" s="187" t="s">
        <v>272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240</v>
      </c>
      <c r="B61" s="16"/>
      <c r="C61" s="16"/>
      <c r="D61" s="16"/>
      <c r="E61" s="16"/>
      <c r="F61" s="16"/>
      <c r="G61" s="38"/>
      <c r="H61" s="39"/>
      <c r="I61" s="104"/>
      <c r="J61" s="10"/>
      <c r="K61" s="10"/>
      <c r="L61" s="10"/>
    </row>
    <row r="62" spans="1:12" ht="12.75">
      <c r="A62" s="77"/>
      <c r="B62" s="16"/>
      <c r="C62" s="16"/>
      <c r="D62" s="16"/>
      <c r="E62" s="21" t="s">
        <v>241</v>
      </c>
      <c r="F62" s="86"/>
      <c r="G62" s="179" t="s">
        <v>242</v>
      </c>
      <c r="H62" s="180"/>
      <c r="I62" s="181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2"/>
      <c r="H63" s="183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SheetLayoutView="100" workbookViewId="0" topLeftCell="A1">
      <selection activeCell="A11" sqref="A11:J11"/>
    </sheetView>
  </sheetViews>
  <sheetFormatPr defaultColWidth="9.140625" defaultRowHeight="12.75"/>
  <cols>
    <col min="1" max="9" width="9.140625" style="48" customWidth="1"/>
    <col min="10" max="11" width="10.7109375" style="48" bestFit="1" customWidth="1"/>
    <col min="12" max="16384" width="9.140625" style="48" customWidth="1"/>
  </cols>
  <sheetData>
    <row r="1" spans="1:11" ht="21" customHeight="1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1.75" customHeight="1">
      <c r="A2" s="229" t="s">
        <v>305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>
      <c r="A3" s="230" t="s">
        <v>299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39</v>
      </c>
      <c r="B4" s="234"/>
      <c r="C4" s="234"/>
      <c r="D4" s="234"/>
      <c r="E4" s="234"/>
      <c r="F4" s="234"/>
      <c r="G4" s="234"/>
      <c r="H4" s="235"/>
      <c r="I4" s="53" t="s">
        <v>243</v>
      </c>
      <c r="J4" s="54" t="s">
        <v>281</v>
      </c>
      <c r="K4" s="55" t="s">
        <v>282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2">
        <v>2</v>
      </c>
      <c r="J5" s="51">
        <v>3</v>
      </c>
      <c r="K5" s="51">
        <v>4</v>
      </c>
    </row>
    <row r="6" spans="1:11" ht="15" customHeight="1">
      <c r="A6" s="225" t="s">
        <v>302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5" customHeight="1">
      <c r="A7" s="199" t="s">
        <v>40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10</v>
      </c>
      <c r="B8" s="207"/>
      <c r="C8" s="207"/>
      <c r="D8" s="207"/>
      <c r="E8" s="207"/>
      <c r="F8" s="207"/>
      <c r="G8" s="207"/>
      <c r="H8" s="208"/>
      <c r="I8" s="1">
        <v>2</v>
      </c>
      <c r="J8" s="116">
        <f>J9+J16+J26+J35+J39</f>
        <v>767561009</v>
      </c>
      <c r="K8" s="116">
        <f>K9+K16+K26+K35+K39</f>
        <v>788340056</v>
      </c>
    </row>
    <row r="9" spans="1:11" ht="12.75">
      <c r="A9" s="203" t="s">
        <v>170</v>
      </c>
      <c r="B9" s="204"/>
      <c r="C9" s="204"/>
      <c r="D9" s="204"/>
      <c r="E9" s="204"/>
      <c r="F9" s="204"/>
      <c r="G9" s="204"/>
      <c r="H9" s="205"/>
      <c r="I9" s="1">
        <v>3</v>
      </c>
      <c r="J9" s="116">
        <f>SUM(J10:J15)</f>
        <v>7666622</v>
      </c>
      <c r="K9" s="116">
        <f>SUM(K10:K15)</f>
        <v>8148485</v>
      </c>
    </row>
    <row r="10" spans="1:11" ht="12.75">
      <c r="A10" s="203" t="s">
        <v>88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11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5691975</v>
      </c>
      <c r="K11" s="7">
        <v>4540412</v>
      </c>
    </row>
    <row r="12" spans="1:11" ht="12.75">
      <c r="A12" s="203" t="s">
        <v>89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173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174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1974647</v>
      </c>
      <c r="K14" s="7">
        <v>3608073</v>
      </c>
    </row>
    <row r="15" spans="1:11" ht="12.75">
      <c r="A15" s="203" t="s">
        <v>175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171</v>
      </c>
      <c r="B16" s="204"/>
      <c r="C16" s="204"/>
      <c r="D16" s="204"/>
      <c r="E16" s="204"/>
      <c r="F16" s="204"/>
      <c r="G16" s="204"/>
      <c r="H16" s="205"/>
      <c r="I16" s="1">
        <v>10</v>
      </c>
      <c r="J16" s="116">
        <f>SUM(J17:J25)</f>
        <v>737831972</v>
      </c>
      <c r="K16" s="116">
        <f>SUM(K17:K25)</f>
        <v>733063300</v>
      </c>
    </row>
    <row r="17" spans="1:11" ht="12.75">
      <c r="A17" s="203" t="s">
        <v>176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49411756</v>
      </c>
      <c r="K17" s="7">
        <v>49482152</v>
      </c>
    </row>
    <row r="18" spans="1:11" ht="12.75">
      <c r="A18" s="203" t="s">
        <v>212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303807515</v>
      </c>
      <c r="K18" s="7">
        <v>289770183</v>
      </c>
    </row>
    <row r="19" spans="1:11" ht="12.75">
      <c r="A19" s="203" t="s">
        <v>177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354706148</v>
      </c>
      <c r="K19" s="7">
        <v>321195288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12502844</v>
      </c>
      <c r="K20" s="7">
        <v>13342741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48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3081885</v>
      </c>
      <c r="K22" s="7">
        <v>3020898</v>
      </c>
    </row>
    <row r="23" spans="1:11" ht="12.75">
      <c r="A23" s="203" t="s">
        <v>49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13828059</v>
      </c>
      <c r="K23" s="7">
        <v>55752053</v>
      </c>
    </row>
    <row r="24" spans="1:11" ht="12.75">
      <c r="A24" s="203" t="s">
        <v>50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493765</v>
      </c>
      <c r="K24" s="7">
        <v>499985</v>
      </c>
    </row>
    <row r="25" spans="1:11" ht="12.75">
      <c r="A25" s="203" t="s">
        <v>51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155</v>
      </c>
      <c r="B26" s="204"/>
      <c r="C26" s="204"/>
      <c r="D26" s="204"/>
      <c r="E26" s="204"/>
      <c r="F26" s="204"/>
      <c r="G26" s="204"/>
      <c r="H26" s="205"/>
      <c r="I26" s="1">
        <v>20</v>
      </c>
      <c r="J26" s="116">
        <f>SUM(J27:J34)</f>
        <v>22062415</v>
      </c>
      <c r="K26" s="116">
        <f>SUM(K27:K34)</f>
        <v>47128271</v>
      </c>
    </row>
    <row r="27" spans="1:11" ht="12.75">
      <c r="A27" s="203" t="s">
        <v>52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7770691</v>
      </c>
      <c r="K27" s="7">
        <v>35568724</v>
      </c>
    </row>
    <row r="28" spans="1:11" ht="12.75">
      <c r="A28" s="203" t="s">
        <v>53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54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10766762</v>
      </c>
      <c r="K29" s="7">
        <v>11559547</v>
      </c>
    </row>
    <row r="30" spans="1:11" ht="12.75">
      <c r="A30" s="203" t="s">
        <v>59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60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61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55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148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3524962</v>
      </c>
      <c r="K34" s="7"/>
    </row>
    <row r="35" spans="1:11" ht="12.75">
      <c r="A35" s="203" t="s">
        <v>149</v>
      </c>
      <c r="B35" s="204"/>
      <c r="C35" s="204"/>
      <c r="D35" s="204"/>
      <c r="E35" s="204"/>
      <c r="F35" s="204"/>
      <c r="G35" s="204"/>
      <c r="H35" s="205"/>
      <c r="I35" s="1">
        <v>29</v>
      </c>
      <c r="J35" s="116">
        <f>SUM(J36:J38)</f>
        <v>0</v>
      </c>
      <c r="K35" s="116">
        <f>SUM(K36:K38)</f>
        <v>0</v>
      </c>
    </row>
    <row r="36" spans="1:11" ht="12.75">
      <c r="A36" s="203" t="s">
        <v>56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57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58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150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205</v>
      </c>
      <c r="B40" s="207"/>
      <c r="C40" s="207"/>
      <c r="D40" s="207"/>
      <c r="E40" s="207"/>
      <c r="F40" s="207"/>
      <c r="G40" s="207"/>
      <c r="H40" s="208"/>
      <c r="I40" s="1">
        <v>34</v>
      </c>
      <c r="J40" s="116">
        <f>J41+J49+J56+J64</f>
        <v>876527328</v>
      </c>
      <c r="K40" s="116">
        <f>K41+K49+K56+K64</f>
        <v>1150789440</v>
      </c>
    </row>
    <row r="41" spans="1:11" ht="12.75">
      <c r="A41" s="203" t="s">
        <v>76</v>
      </c>
      <c r="B41" s="204"/>
      <c r="C41" s="204"/>
      <c r="D41" s="204"/>
      <c r="E41" s="204"/>
      <c r="F41" s="204"/>
      <c r="G41" s="204"/>
      <c r="H41" s="205"/>
      <c r="I41" s="1">
        <v>35</v>
      </c>
      <c r="J41" s="116">
        <f>SUM(J42:J48)</f>
        <v>653760359</v>
      </c>
      <c r="K41" s="116">
        <f>SUM(K42:K48)</f>
        <v>658809848</v>
      </c>
    </row>
    <row r="42" spans="1:11" ht="12.75">
      <c r="A42" s="203" t="s">
        <v>91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307535935</v>
      </c>
      <c r="K42" s="7">
        <v>247917930</v>
      </c>
    </row>
    <row r="43" spans="1:11" ht="12.75">
      <c r="A43" s="203" t="s">
        <v>92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41135157</v>
      </c>
      <c r="K43" s="7">
        <v>70216160</v>
      </c>
    </row>
    <row r="44" spans="1:11" ht="12.75">
      <c r="A44" s="203" t="s">
        <v>62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300391370</v>
      </c>
      <c r="K44" s="7">
        <v>333852838</v>
      </c>
    </row>
    <row r="45" spans="1:11" ht="12.75">
      <c r="A45" s="203" t="s">
        <v>63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4261657</v>
      </c>
      <c r="K45" s="7">
        <v>4869080</v>
      </c>
    </row>
    <row r="46" spans="1:11" ht="12.75">
      <c r="A46" s="203" t="s">
        <v>64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436240</v>
      </c>
      <c r="K46" s="7">
        <v>1953840</v>
      </c>
    </row>
    <row r="47" spans="1:11" ht="12.75">
      <c r="A47" s="203" t="s">
        <v>65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66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77</v>
      </c>
      <c r="B49" s="204"/>
      <c r="C49" s="204"/>
      <c r="D49" s="204"/>
      <c r="E49" s="204"/>
      <c r="F49" s="204"/>
      <c r="G49" s="204"/>
      <c r="H49" s="205"/>
      <c r="I49" s="1">
        <v>43</v>
      </c>
      <c r="J49" s="116">
        <f>SUM(J50:J55)</f>
        <v>195200328</v>
      </c>
      <c r="K49" s="116">
        <f>SUM(K50:K55)</f>
        <v>448263232</v>
      </c>
    </row>
    <row r="50" spans="1:11" ht="12.75">
      <c r="A50" s="203" t="s">
        <v>165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4617071</v>
      </c>
      <c r="K50" s="7">
        <v>11599180</v>
      </c>
    </row>
    <row r="51" spans="1:11" ht="12.75">
      <c r="A51" s="203" t="s">
        <v>166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147436701</v>
      </c>
      <c r="K51" s="7">
        <v>139577954</v>
      </c>
    </row>
    <row r="52" spans="1:11" ht="12.75">
      <c r="A52" s="203" t="s">
        <v>167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168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21316</v>
      </c>
      <c r="K53" s="7">
        <v>56426</v>
      </c>
    </row>
    <row r="54" spans="1:11" ht="12.75">
      <c r="A54" s="203" t="s">
        <v>7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39789121</v>
      </c>
      <c r="K54" s="7">
        <v>72435277</v>
      </c>
    </row>
    <row r="55" spans="1:11" ht="12.75">
      <c r="A55" s="203" t="s">
        <v>8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3336119</v>
      </c>
      <c r="K55" s="7">
        <v>224594395</v>
      </c>
    </row>
    <row r="56" spans="1:11" ht="12.75">
      <c r="A56" s="203" t="s">
        <v>78</v>
      </c>
      <c r="B56" s="204"/>
      <c r="C56" s="204"/>
      <c r="D56" s="204"/>
      <c r="E56" s="204"/>
      <c r="F56" s="204"/>
      <c r="G56" s="204"/>
      <c r="H56" s="205"/>
      <c r="I56" s="1">
        <v>50</v>
      </c>
      <c r="J56" s="116">
        <f>SUM(J57:J63)</f>
        <v>20211233</v>
      </c>
      <c r="K56" s="116">
        <f>SUM(K57:K63)</f>
        <v>30473359</v>
      </c>
    </row>
    <row r="57" spans="1:11" ht="12.75">
      <c r="A57" s="203" t="s">
        <v>52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53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207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59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60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5150393</v>
      </c>
      <c r="K61" s="7">
        <v>5545769</v>
      </c>
    </row>
    <row r="62" spans="1:11" ht="12.75">
      <c r="A62" s="203" t="s">
        <v>61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15060840</v>
      </c>
      <c r="K62" s="7">
        <v>24927590</v>
      </c>
    </row>
    <row r="63" spans="1:11" ht="12.75">
      <c r="A63" s="203" t="s">
        <v>31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172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7355408</v>
      </c>
      <c r="K64" s="7">
        <v>13243001</v>
      </c>
    </row>
    <row r="65" spans="1:11" ht="12.75">
      <c r="A65" s="206" t="s">
        <v>36</v>
      </c>
      <c r="B65" s="207"/>
      <c r="C65" s="207"/>
      <c r="D65" s="207"/>
      <c r="E65" s="207"/>
      <c r="F65" s="207"/>
      <c r="G65" s="207"/>
      <c r="H65" s="208"/>
      <c r="I65" s="1">
        <v>59</v>
      </c>
      <c r="J65" s="118">
        <v>2733794</v>
      </c>
      <c r="K65" s="118">
        <v>2664743</v>
      </c>
    </row>
    <row r="66" spans="1:11" ht="12.75">
      <c r="A66" s="206" t="s">
        <v>206</v>
      </c>
      <c r="B66" s="207"/>
      <c r="C66" s="207"/>
      <c r="D66" s="207"/>
      <c r="E66" s="207"/>
      <c r="F66" s="207"/>
      <c r="G66" s="207"/>
      <c r="H66" s="208"/>
      <c r="I66" s="1">
        <v>60</v>
      </c>
      <c r="J66" s="116">
        <f>J7+J8+J40+J65</f>
        <v>1646822131</v>
      </c>
      <c r="K66" s="116">
        <f>K7+K8+K40+K65</f>
        <v>1941794239</v>
      </c>
    </row>
    <row r="67" spans="1:11" ht="17.25" customHeight="1">
      <c r="A67" s="218" t="s">
        <v>67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186462200</v>
      </c>
      <c r="K67" s="8">
        <v>297691767</v>
      </c>
    </row>
    <row r="68" spans="1:11" ht="24" customHeight="1">
      <c r="A68" s="221" t="s">
        <v>38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199" t="s">
        <v>156</v>
      </c>
      <c r="B69" s="200"/>
      <c r="C69" s="200"/>
      <c r="D69" s="200"/>
      <c r="E69" s="200"/>
      <c r="F69" s="200"/>
      <c r="G69" s="200"/>
      <c r="H69" s="217"/>
      <c r="I69" s="3">
        <v>62</v>
      </c>
      <c r="J69" s="117">
        <f>J70+J71+J72+J78+J79+J82+J85</f>
        <v>765109515</v>
      </c>
      <c r="K69" s="117">
        <f>K70+K71+K72+K78+K79+K82+K85</f>
        <v>587139599</v>
      </c>
    </row>
    <row r="70" spans="1:11" ht="12.75">
      <c r="A70" s="203" t="s">
        <v>115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902101590</v>
      </c>
      <c r="K70" s="7">
        <v>902101590</v>
      </c>
    </row>
    <row r="71" spans="1:11" ht="12.75">
      <c r="A71" s="203" t="s">
        <v>116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117</v>
      </c>
      <c r="B72" s="204"/>
      <c r="C72" s="204"/>
      <c r="D72" s="204"/>
      <c r="E72" s="204"/>
      <c r="F72" s="204"/>
      <c r="G72" s="204"/>
      <c r="H72" s="205"/>
      <c r="I72" s="1">
        <v>65</v>
      </c>
      <c r="J72" s="116">
        <f>J73+J74-J75+J76+J77</f>
        <v>0</v>
      </c>
      <c r="K72" s="116">
        <f>K73+K74-K75+K76+K77</f>
        <v>0</v>
      </c>
    </row>
    <row r="73" spans="1:11" ht="12.75">
      <c r="A73" s="203" t="s">
        <v>118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119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107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108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109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110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203</v>
      </c>
      <c r="B79" s="204"/>
      <c r="C79" s="204"/>
      <c r="D79" s="204"/>
      <c r="E79" s="204"/>
      <c r="F79" s="204"/>
      <c r="G79" s="204"/>
      <c r="H79" s="205"/>
      <c r="I79" s="1">
        <v>72</v>
      </c>
      <c r="J79" s="116">
        <f>J80-J81</f>
        <v>-244817257</v>
      </c>
      <c r="K79" s="116">
        <f>K80-K81</f>
        <v>-136992075</v>
      </c>
    </row>
    <row r="80" spans="1:11" ht="12.75">
      <c r="A80" s="214" t="s">
        <v>139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140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244817257</v>
      </c>
      <c r="K81" s="7">
        <v>136992075</v>
      </c>
    </row>
    <row r="82" spans="1:11" ht="12.75">
      <c r="A82" s="203" t="s">
        <v>204</v>
      </c>
      <c r="B82" s="204"/>
      <c r="C82" s="204"/>
      <c r="D82" s="204"/>
      <c r="E82" s="204"/>
      <c r="F82" s="204"/>
      <c r="G82" s="204"/>
      <c r="H82" s="205"/>
      <c r="I82" s="1">
        <v>75</v>
      </c>
      <c r="J82" s="116">
        <f>J83-J84</f>
        <v>107825182</v>
      </c>
      <c r="K82" s="116">
        <f>K83-K84</f>
        <v>-177969916</v>
      </c>
    </row>
    <row r="83" spans="1:11" ht="12.75">
      <c r="A83" s="214" t="s">
        <v>141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107825182</v>
      </c>
      <c r="K83" s="7"/>
    </row>
    <row r="84" spans="1:11" ht="12.75">
      <c r="A84" s="214" t="s">
        <v>142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177969916</v>
      </c>
    </row>
    <row r="85" spans="1:11" ht="12.75">
      <c r="A85" s="203" t="s">
        <v>143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116">
        <f>SUM(J87:J89)</f>
        <v>14197080</v>
      </c>
      <c r="K86" s="116">
        <f>SUM(K87:K89)</f>
        <v>15076437</v>
      </c>
    </row>
    <row r="87" spans="1:11" ht="12.75">
      <c r="A87" s="203" t="s">
        <v>103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12112252</v>
      </c>
      <c r="K87" s="7">
        <v>13126437</v>
      </c>
    </row>
    <row r="88" spans="1:11" ht="12.75">
      <c r="A88" s="203" t="s">
        <v>104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105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2084828</v>
      </c>
      <c r="K89" s="7">
        <v>1950000</v>
      </c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116">
        <f>SUM(J91:J99)</f>
        <v>80000000</v>
      </c>
      <c r="K90" s="116">
        <f>SUM(K91:K99)</f>
        <v>123333333</v>
      </c>
    </row>
    <row r="91" spans="1:11" ht="12.75">
      <c r="A91" s="203" t="s">
        <v>106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208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80000000</v>
      </c>
      <c r="K93" s="7">
        <v>123333333</v>
      </c>
    </row>
    <row r="94" spans="1:11" ht="12.75">
      <c r="A94" s="203" t="s">
        <v>209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210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211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70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68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69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16">
        <f>SUM(J101:J112)</f>
        <v>784052266</v>
      </c>
      <c r="K100" s="116">
        <f>SUM(K101:K112)</f>
        <v>1212271490</v>
      </c>
    </row>
    <row r="101" spans="1:11" ht="12.75">
      <c r="A101" s="203" t="s">
        <v>106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3492737</v>
      </c>
      <c r="K101" s="7">
        <v>6730060</v>
      </c>
    </row>
    <row r="102" spans="1:11" ht="12.75">
      <c r="A102" s="203" t="s">
        <v>208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12000000</v>
      </c>
      <c r="K102" s="7">
        <v>4500000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295722222</v>
      </c>
      <c r="K103" s="7">
        <v>323166667</v>
      </c>
    </row>
    <row r="104" spans="1:11" ht="12.75">
      <c r="A104" s="203" t="s">
        <v>209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25990680</v>
      </c>
      <c r="K104" s="7">
        <v>61021489</v>
      </c>
    </row>
    <row r="105" spans="1:11" ht="12.75">
      <c r="A105" s="203" t="s">
        <v>210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331324720</v>
      </c>
      <c r="K105" s="7">
        <v>484375423</v>
      </c>
    </row>
    <row r="106" spans="1:11" ht="12.75">
      <c r="A106" s="203" t="s">
        <v>211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81176464</v>
      </c>
      <c r="K106" s="7">
        <v>82000000</v>
      </c>
    </row>
    <row r="107" spans="1:11" ht="12.75">
      <c r="A107" s="203" t="s">
        <v>70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71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13613928</v>
      </c>
      <c r="K108" s="7">
        <v>13427611</v>
      </c>
    </row>
    <row r="109" spans="1:11" ht="12.75">
      <c r="A109" s="203" t="s">
        <v>72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9921035</v>
      </c>
      <c r="K109" s="7">
        <v>11599920</v>
      </c>
    </row>
    <row r="110" spans="1:11" ht="12.75">
      <c r="A110" s="203" t="s">
        <v>75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73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74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10810480</v>
      </c>
      <c r="K112" s="7">
        <v>225450320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18">
        <v>3463270</v>
      </c>
      <c r="K113" s="118">
        <v>3973380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16">
        <f>J69+J86+J90+J100+J113</f>
        <v>1646822131</v>
      </c>
      <c r="K114" s="116">
        <f>K69+K86+K90+K100+K113</f>
        <v>1941794239</v>
      </c>
    </row>
    <row r="115" spans="1:11" ht="12.75">
      <c r="A115" s="192" t="s">
        <v>37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f>J67</f>
        <v>186462200</v>
      </c>
      <c r="K115" s="8">
        <f>K67</f>
        <v>297691767</v>
      </c>
    </row>
    <row r="116" spans="1:11" ht="12.75">
      <c r="A116" s="195" t="s">
        <v>273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151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5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6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274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3" right="0.24" top="0.34" bottom="0.43" header="0.19" footer="0.28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SheetLayoutView="100" workbookViewId="0" topLeftCell="A1">
      <selection activeCell="A11" sqref="A11:J11"/>
    </sheetView>
  </sheetViews>
  <sheetFormatPr defaultColWidth="9.140625" defaultRowHeight="12.75"/>
  <cols>
    <col min="1" max="3" width="9.140625" style="48" customWidth="1"/>
    <col min="4" max="4" width="7.421875" style="48" customWidth="1"/>
    <col min="5" max="5" width="6.8515625" style="48" customWidth="1"/>
    <col min="6" max="6" width="5.7109375" style="48" customWidth="1"/>
    <col min="7" max="7" width="6.28125" style="48" customWidth="1"/>
    <col min="8" max="8" width="3.140625" style="48" customWidth="1"/>
    <col min="9" max="9" width="6.7109375" style="48" customWidth="1"/>
    <col min="10" max="13" width="11.28125" style="48" customWidth="1"/>
    <col min="14" max="16384" width="9.140625" style="48" customWidth="1"/>
  </cols>
  <sheetData>
    <row r="1" spans="1:13" ht="19.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6.5" customHeight="1">
      <c r="A3" s="258" t="s">
        <v>299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30.75" customHeight="1">
      <c r="A4" s="257" t="s">
        <v>39</v>
      </c>
      <c r="B4" s="257"/>
      <c r="C4" s="257"/>
      <c r="D4" s="257"/>
      <c r="E4" s="257"/>
      <c r="F4" s="257"/>
      <c r="G4" s="257"/>
      <c r="H4" s="257"/>
      <c r="I4" s="53" t="s">
        <v>244</v>
      </c>
      <c r="J4" s="256" t="s">
        <v>281</v>
      </c>
      <c r="K4" s="256"/>
      <c r="L4" s="256" t="s">
        <v>282</v>
      </c>
      <c r="M4" s="256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3"/>
      <c r="J5" s="55" t="s">
        <v>277</v>
      </c>
      <c r="K5" s="55" t="s">
        <v>278</v>
      </c>
      <c r="L5" s="55" t="s">
        <v>277</v>
      </c>
      <c r="M5" s="55" t="s">
        <v>278</v>
      </c>
    </row>
    <row r="6" spans="1:13" ht="10.5" customHeight="1">
      <c r="A6" s="256">
        <v>1</v>
      </c>
      <c r="B6" s="256"/>
      <c r="C6" s="256"/>
      <c r="D6" s="256"/>
      <c r="E6" s="256"/>
      <c r="F6" s="256"/>
      <c r="G6" s="256"/>
      <c r="H6" s="256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17"/>
      <c r="I7" s="3">
        <v>111</v>
      </c>
      <c r="J7" s="117">
        <f>SUM(J8:J9)</f>
        <v>2945052975</v>
      </c>
      <c r="K7" s="117">
        <f>SUM(K8:K9)</f>
        <v>710503789</v>
      </c>
      <c r="L7" s="117">
        <f>SUM(L8:L9)</f>
        <v>3004900793</v>
      </c>
      <c r="M7" s="117">
        <f>SUM(M8:M9)</f>
        <v>905890995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2895874255</v>
      </c>
      <c r="K8" s="7">
        <v>687217595</v>
      </c>
      <c r="L8" s="7">
        <v>2939114596</v>
      </c>
      <c r="M8" s="7">
        <f>L8-2061682456</f>
        <v>877432140</v>
      </c>
    </row>
    <row r="9" spans="1:13" ht="12.75">
      <c r="A9" s="206" t="s">
        <v>79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49178720</v>
      </c>
      <c r="K9" s="7">
        <v>23286194</v>
      </c>
      <c r="L9" s="7">
        <v>65786197</v>
      </c>
      <c r="M9" s="7">
        <f>L9-37327342</f>
        <v>28458855</v>
      </c>
    </row>
    <row r="10" spans="1:13" ht="12.75">
      <c r="A10" s="206" t="s">
        <v>9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16">
        <f>J11+J12+J16+J20+J21+J22+J25+J26</f>
        <v>2805899334</v>
      </c>
      <c r="K10" s="116">
        <f>K11+K12+K16+K20+K21+K22+K25+K26</f>
        <v>709231461</v>
      </c>
      <c r="L10" s="116">
        <f>L11+L12+L16+L20+L21+L22+L25+L26</f>
        <v>3157005042</v>
      </c>
      <c r="M10" s="116">
        <f>M11+M12+M16+M20+M21+M22+M25+M26</f>
        <v>938258838</v>
      </c>
    </row>
    <row r="11" spans="1:13" ht="20.25" customHeight="1">
      <c r="A11" s="206" t="s">
        <v>80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-99921361</v>
      </c>
      <c r="K11" s="7">
        <v>-59457862</v>
      </c>
      <c r="L11" s="7">
        <v>-66873283</v>
      </c>
      <c r="M11" s="7">
        <f>L11-(-57571500)</f>
        <v>-9301783</v>
      </c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16">
        <f>SUM(J13:J15)</f>
        <v>2483206663</v>
      </c>
      <c r="K12" s="116">
        <f>SUM(K13:K15)</f>
        <v>671489883</v>
      </c>
      <c r="L12" s="116">
        <f>SUM(L13:L15)</f>
        <v>2796469331</v>
      </c>
      <c r="M12" s="116">
        <f>SUM(M13:M15)</f>
        <v>826055158</v>
      </c>
    </row>
    <row r="13" spans="1:13" ht="12.75">
      <c r="A13" s="203" t="s">
        <v>120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2358138963</v>
      </c>
      <c r="K13" s="7">
        <v>638072714</v>
      </c>
      <c r="L13" s="7">
        <v>2661856709</v>
      </c>
      <c r="M13" s="7">
        <f>L13-1876265931</f>
        <v>785590778</v>
      </c>
    </row>
    <row r="14" spans="1:13" ht="12.75">
      <c r="A14" s="203" t="s">
        <v>121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7814172</v>
      </c>
      <c r="K14" s="7">
        <v>3272165</v>
      </c>
      <c r="L14" s="7">
        <v>33004473</v>
      </c>
      <c r="M14" s="7">
        <f>L14-21988862</f>
        <v>11015611</v>
      </c>
    </row>
    <row r="15" spans="1:13" ht="12.75">
      <c r="A15" s="203" t="s">
        <v>41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117253528</v>
      </c>
      <c r="K15" s="7">
        <v>30145004</v>
      </c>
      <c r="L15" s="7">
        <v>101608149</v>
      </c>
      <c r="M15" s="7">
        <f>L15-72159380</f>
        <v>29448769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16">
        <f>SUM(J17:J19)</f>
        <v>232886938</v>
      </c>
      <c r="K16" s="116">
        <f>SUM(K17:K19)</f>
        <v>59820474</v>
      </c>
      <c r="L16" s="116">
        <f>SUM(L17:L19)</f>
        <v>234819344</v>
      </c>
      <c r="M16" s="116">
        <f>SUM(M17:M19)</f>
        <v>58901627</v>
      </c>
    </row>
    <row r="17" spans="1:13" ht="12.75">
      <c r="A17" s="203" t="s">
        <v>42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145820680</v>
      </c>
      <c r="K17" s="7">
        <v>37432017</v>
      </c>
      <c r="L17" s="7">
        <v>148331714</v>
      </c>
      <c r="M17" s="7">
        <f>L17-110799601</f>
        <v>37532113</v>
      </c>
    </row>
    <row r="18" spans="1:13" ht="12.75">
      <c r="A18" s="203" t="s">
        <v>43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52831890</v>
      </c>
      <c r="K18" s="7">
        <v>13599153</v>
      </c>
      <c r="L18" s="7">
        <v>54294272</v>
      </c>
      <c r="M18" s="7">
        <f>L18-40716031</f>
        <v>13578241</v>
      </c>
    </row>
    <row r="19" spans="1:13" ht="12.75">
      <c r="A19" s="203" t="s">
        <v>44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34234368</v>
      </c>
      <c r="K19" s="7">
        <v>8789304</v>
      </c>
      <c r="L19" s="7">
        <v>32193358</v>
      </c>
      <c r="M19" s="7">
        <f>L19-24402085</f>
        <v>7791273</v>
      </c>
    </row>
    <row r="20" spans="1:13" ht="12.75">
      <c r="A20" s="206" t="s">
        <v>81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18">
        <v>94062762</v>
      </c>
      <c r="K20" s="118">
        <v>20523702</v>
      </c>
      <c r="L20" s="118">
        <v>98782028</v>
      </c>
      <c r="M20" s="118">
        <f>L20-75366050</f>
        <v>23415978</v>
      </c>
    </row>
    <row r="21" spans="1:13" ht="12.75">
      <c r="A21" s="206" t="s">
        <v>82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18">
        <v>86197728</v>
      </c>
      <c r="K21" s="118">
        <v>25091668</v>
      </c>
      <c r="L21" s="118">
        <v>78363642</v>
      </c>
      <c r="M21" s="118">
        <f>L21-54441000</f>
        <v>23922642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116">
        <f>SUM(J23:J24)</f>
        <v>4969385</v>
      </c>
      <c r="K22" s="116">
        <f>SUM(K23:K24)</f>
        <v>4606377</v>
      </c>
      <c r="L22" s="116">
        <f>SUM(L23:L24)</f>
        <v>8610915</v>
      </c>
      <c r="M22" s="116">
        <f>SUM(M23:M24)</f>
        <v>8432151</v>
      </c>
    </row>
    <row r="23" spans="1:13" ht="12.75">
      <c r="A23" s="203" t="s">
        <v>111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108297</v>
      </c>
      <c r="K23" s="7">
        <v>84638</v>
      </c>
      <c r="L23" s="7">
        <v>11811</v>
      </c>
      <c r="M23" s="7">
        <f>L23-11811</f>
        <v>0</v>
      </c>
    </row>
    <row r="24" spans="1:13" ht="12.75">
      <c r="A24" s="203" t="s">
        <v>112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4861088</v>
      </c>
      <c r="K24" s="7">
        <v>4521739</v>
      </c>
      <c r="L24" s="7">
        <v>8599104</v>
      </c>
      <c r="M24" s="7">
        <f>L24-166953</f>
        <v>8432151</v>
      </c>
    </row>
    <row r="25" spans="1:13" ht="12.75">
      <c r="A25" s="206" t="s">
        <v>83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4497219</v>
      </c>
      <c r="K25" s="7">
        <v>-12842781</v>
      </c>
      <c r="L25" s="7">
        <v>6833065</v>
      </c>
      <c r="M25" s="7">
        <f>L25</f>
        <v>6833065</v>
      </c>
    </row>
    <row r="26" spans="1:13" ht="12.75">
      <c r="A26" s="206" t="s">
        <v>35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178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16">
        <f>SUM(J28:J32)</f>
        <v>24516070</v>
      </c>
      <c r="K27" s="116">
        <f>SUM(K28:K32)</f>
        <v>4986330</v>
      </c>
      <c r="L27" s="116">
        <f>SUM(L28:L32)</f>
        <v>25179283</v>
      </c>
      <c r="M27" s="116">
        <f>SUM(M28:M32)</f>
        <v>5272626</v>
      </c>
    </row>
    <row r="28" spans="1:13" ht="21.75" customHeight="1">
      <c r="A28" s="206" t="s">
        <v>192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29766</v>
      </c>
      <c r="K28" s="7">
        <v>5190</v>
      </c>
      <c r="L28" s="7">
        <v>344822</v>
      </c>
      <c r="M28" s="7">
        <f>L28-115322</f>
        <v>229500</v>
      </c>
    </row>
    <row r="29" spans="1:13" ht="21" customHeight="1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24486304</v>
      </c>
      <c r="K29" s="7">
        <v>4981140</v>
      </c>
      <c r="L29" s="7">
        <v>24041676</v>
      </c>
      <c r="M29" s="7">
        <f>L29-18951889</f>
        <v>5089787</v>
      </c>
    </row>
    <row r="30" spans="1:13" ht="12.75" customHeight="1">
      <c r="A30" s="206" t="s">
        <v>113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188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>
        <v>792785</v>
      </c>
      <c r="M31" s="7">
        <f>L31-839446</f>
        <v>-46661</v>
      </c>
    </row>
    <row r="32" spans="1:13" ht="12.75">
      <c r="A32" s="206" t="s">
        <v>114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179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16">
        <f>SUM(J34:J37)</f>
        <v>55925003</v>
      </c>
      <c r="K33" s="116">
        <f>SUM(K34:K37)</f>
        <v>12987534</v>
      </c>
      <c r="L33" s="116">
        <f>SUM(L34:L37)</f>
        <v>51044950</v>
      </c>
      <c r="M33" s="116">
        <f>SUM(M34:M37)</f>
        <v>12288417</v>
      </c>
    </row>
    <row r="34" spans="1:13" ht="18" customHeight="1">
      <c r="A34" s="206" t="s">
        <v>46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227068</v>
      </c>
      <c r="K34" s="7">
        <v>67704</v>
      </c>
      <c r="L34" s="7">
        <v>311997</v>
      </c>
      <c r="M34" s="7">
        <f>L34-229570</f>
        <v>82427</v>
      </c>
    </row>
    <row r="35" spans="1:13" ht="21.75" customHeight="1">
      <c r="A35" s="206" t="s">
        <v>45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53659345</v>
      </c>
      <c r="K35" s="7">
        <v>10881240</v>
      </c>
      <c r="L35" s="7">
        <v>50732953</v>
      </c>
      <c r="M35" s="7">
        <f>L35-38526963</f>
        <v>12205990</v>
      </c>
    </row>
    <row r="36" spans="1:13" ht="14.25" customHeight="1">
      <c r="A36" s="206" t="s">
        <v>189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2038590</v>
      </c>
      <c r="K36" s="7">
        <v>2038590</v>
      </c>
      <c r="L36" s="7"/>
      <c r="M36" s="7"/>
    </row>
    <row r="37" spans="1:13" ht="12.75">
      <c r="A37" s="206" t="s">
        <v>47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160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80474</v>
      </c>
      <c r="K38" s="7">
        <v>80474</v>
      </c>
      <c r="L38" s="7"/>
      <c r="M38" s="7"/>
    </row>
    <row r="39" spans="1:13" ht="10.5" customHeight="1">
      <c r="A39" s="206" t="s">
        <v>161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1.25" customHeight="1">
      <c r="A40" s="206" t="s">
        <v>190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" customHeight="1">
      <c r="A41" s="206" t="s">
        <v>191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180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16">
        <f>J7+J27+J38+J40</f>
        <v>2969649519</v>
      </c>
      <c r="K42" s="116">
        <f>K7+K27+K38+K40</f>
        <v>715570593</v>
      </c>
      <c r="L42" s="116">
        <f>L7+L27+L38+L40</f>
        <v>3030080076</v>
      </c>
      <c r="M42" s="116">
        <f>M7+M27+M38+M40</f>
        <v>911163621</v>
      </c>
    </row>
    <row r="43" spans="1:13" ht="12.75">
      <c r="A43" s="206" t="s">
        <v>181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16">
        <f>J10+J33+J39+J41</f>
        <v>2861824337</v>
      </c>
      <c r="K43" s="116">
        <f>K10+K33+K39+K41</f>
        <v>722218995</v>
      </c>
      <c r="L43" s="116">
        <f>L10+L33+L39+L41</f>
        <v>3208049992</v>
      </c>
      <c r="M43" s="116">
        <f>M10+M33+M39+M41</f>
        <v>950547255</v>
      </c>
    </row>
    <row r="44" spans="1:13" ht="12.75">
      <c r="A44" s="206" t="s">
        <v>201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16">
        <f>J42-J43</f>
        <v>107825182</v>
      </c>
      <c r="K44" s="116">
        <f>K42-K43</f>
        <v>-6648402</v>
      </c>
      <c r="L44" s="116">
        <f>L42-L43</f>
        <v>-177969916</v>
      </c>
      <c r="M44" s="116">
        <f>M42-M43</f>
        <v>-39383634</v>
      </c>
    </row>
    <row r="45" spans="1:13" ht="12.75">
      <c r="A45" s="214" t="s">
        <v>183</v>
      </c>
      <c r="B45" s="215"/>
      <c r="C45" s="215"/>
      <c r="D45" s="215"/>
      <c r="E45" s="215"/>
      <c r="F45" s="215"/>
      <c r="G45" s="215"/>
      <c r="H45" s="216"/>
      <c r="I45" s="1">
        <v>149</v>
      </c>
      <c r="J45" s="49">
        <f>IF(J42&gt;J43,J42-J43,0)</f>
        <v>107825182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4" t="s">
        <v>184</v>
      </c>
      <c r="B46" s="215"/>
      <c r="C46" s="215"/>
      <c r="D46" s="215"/>
      <c r="E46" s="215"/>
      <c r="F46" s="215"/>
      <c r="G46" s="215"/>
      <c r="H46" s="216"/>
      <c r="I46" s="1">
        <v>150</v>
      </c>
      <c r="J46" s="49">
        <f>IF(J43&gt;J42,J43-J42,0)</f>
        <v>0</v>
      </c>
      <c r="K46" s="49">
        <f>IF(K43&gt;K42,K43-K42,0)</f>
        <v>6648402</v>
      </c>
      <c r="L46" s="49">
        <f>IF(L43&gt;L42,L43-L42,0)</f>
        <v>177969916</v>
      </c>
      <c r="M46" s="49">
        <f>IF(M43&gt;M42,M43-M42,0)</f>
        <v>39383634</v>
      </c>
    </row>
    <row r="47" spans="1:13" ht="12.75">
      <c r="A47" s="206" t="s">
        <v>182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202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16">
        <f>J44-J47</f>
        <v>107825182</v>
      </c>
      <c r="K48" s="116">
        <f>K44-K47</f>
        <v>-6648402</v>
      </c>
      <c r="L48" s="116">
        <f>L44-L47</f>
        <v>-177969916</v>
      </c>
      <c r="M48" s="116">
        <f>M44-M47</f>
        <v>-39383634</v>
      </c>
    </row>
    <row r="49" spans="1:13" ht="12.75">
      <c r="A49" s="214" t="s">
        <v>157</v>
      </c>
      <c r="B49" s="215"/>
      <c r="C49" s="215"/>
      <c r="D49" s="215"/>
      <c r="E49" s="215"/>
      <c r="F49" s="215"/>
      <c r="G49" s="215"/>
      <c r="H49" s="216"/>
      <c r="I49" s="1">
        <v>153</v>
      </c>
      <c r="J49" s="49">
        <f>IF(J48&gt;0,J48,0)</f>
        <v>107825182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53" t="s">
        <v>185</v>
      </c>
      <c r="B50" s="254"/>
      <c r="C50" s="254"/>
      <c r="D50" s="254"/>
      <c r="E50" s="254"/>
      <c r="F50" s="254"/>
      <c r="G50" s="254"/>
      <c r="H50" s="255"/>
      <c r="I50" s="4">
        <v>154</v>
      </c>
      <c r="J50" s="56">
        <f>IF(J48&lt;0,-J48,0)</f>
        <v>0</v>
      </c>
      <c r="K50" s="56">
        <f>IF(K48&lt;0,-K48,0)</f>
        <v>6648402</v>
      </c>
      <c r="L50" s="56">
        <f>IF(L48&lt;0,-L48,0)</f>
        <v>177969916</v>
      </c>
      <c r="M50" s="56">
        <f>IF(M48&lt;0,-M48,0)</f>
        <v>39383634</v>
      </c>
    </row>
    <row r="51" spans="1:13" ht="12.75" customHeight="1">
      <c r="A51" s="195" t="s">
        <v>275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252"/>
    </row>
    <row r="52" spans="1:13" ht="12.75" customHeight="1">
      <c r="A52" s="199" t="s">
        <v>152</v>
      </c>
      <c r="B52" s="200"/>
      <c r="C52" s="200"/>
      <c r="D52" s="200"/>
      <c r="E52" s="200"/>
      <c r="F52" s="200"/>
      <c r="G52" s="200"/>
      <c r="H52" s="200"/>
      <c r="I52" s="50"/>
      <c r="J52" s="50"/>
      <c r="K52" s="50"/>
      <c r="L52" s="50"/>
      <c r="M52" s="122"/>
    </row>
    <row r="53" spans="1:13" ht="12.75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195" t="s">
        <v>154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252"/>
    </row>
    <row r="56" spans="1:13" ht="12.75">
      <c r="A56" s="199" t="s">
        <v>169</v>
      </c>
      <c r="B56" s="200"/>
      <c r="C56" s="200"/>
      <c r="D56" s="200"/>
      <c r="E56" s="200"/>
      <c r="F56" s="200"/>
      <c r="G56" s="200"/>
      <c r="H56" s="217"/>
      <c r="I56" s="9">
        <v>157</v>
      </c>
      <c r="J56" s="119">
        <f>J48</f>
        <v>107825182</v>
      </c>
      <c r="K56" s="119">
        <f>K48</f>
        <v>-6648402</v>
      </c>
      <c r="L56" s="119">
        <f>L48</f>
        <v>-177969916</v>
      </c>
      <c r="M56" s="119">
        <f>M48</f>
        <v>-39383634</v>
      </c>
    </row>
    <row r="57" spans="1:13" ht="17.25" customHeight="1">
      <c r="A57" s="206" t="s">
        <v>186</v>
      </c>
      <c r="B57" s="207"/>
      <c r="C57" s="207"/>
      <c r="D57" s="207"/>
      <c r="E57" s="207"/>
      <c r="F57" s="207"/>
      <c r="G57" s="207"/>
      <c r="H57" s="208"/>
      <c r="I57" s="1">
        <v>158</v>
      </c>
      <c r="J57" s="116">
        <f>SUM(J58:J64)</f>
        <v>0</v>
      </c>
      <c r="K57" s="116">
        <f>SUM(K58:K64)</f>
        <v>0</v>
      </c>
      <c r="L57" s="116">
        <f>SUM(L58:L64)</f>
        <v>0</v>
      </c>
      <c r="M57" s="116">
        <f>SUM(M58:M64)</f>
        <v>0</v>
      </c>
    </row>
    <row r="58" spans="1:13" ht="15" customHeight="1">
      <c r="A58" s="206" t="s">
        <v>193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9.5" customHeight="1">
      <c r="A59" s="206" t="s">
        <v>194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8.75" customHeight="1">
      <c r="A60" s="206" t="s">
        <v>30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195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46" t="s">
        <v>196</v>
      </c>
      <c r="B62" s="247"/>
      <c r="C62" s="247"/>
      <c r="D62" s="247"/>
      <c r="E62" s="247"/>
      <c r="F62" s="247"/>
      <c r="G62" s="247"/>
      <c r="H62" s="248"/>
      <c r="I62" s="1">
        <v>163</v>
      </c>
      <c r="J62" s="7"/>
      <c r="K62" s="7"/>
      <c r="L62" s="7"/>
      <c r="M62" s="7"/>
    </row>
    <row r="63" spans="1:13" ht="15.75" customHeight="1">
      <c r="A63" s="246" t="s">
        <v>197</v>
      </c>
      <c r="B63" s="247"/>
      <c r="C63" s="247"/>
      <c r="D63" s="247"/>
      <c r="E63" s="247"/>
      <c r="F63" s="247"/>
      <c r="G63" s="247"/>
      <c r="H63" s="248"/>
      <c r="I63" s="1">
        <v>164</v>
      </c>
      <c r="J63" s="7"/>
      <c r="K63" s="7"/>
      <c r="L63" s="7"/>
      <c r="M63" s="7"/>
    </row>
    <row r="64" spans="1:13" ht="12.75">
      <c r="A64" s="206" t="s">
        <v>198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187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21" customHeight="1">
      <c r="A66" s="206" t="s">
        <v>158</v>
      </c>
      <c r="B66" s="207"/>
      <c r="C66" s="207"/>
      <c r="D66" s="207"/>
      <c r="E66" s="207"/>
      <c r="F66" s="207"/>
      <c r="G66" s="207"/>
      <c r="H66" s="208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06" t="s">
        <v>159</v>
      </c>
      <c r="B67" s="207"/>
      <c r="C67" s="207"/>
      <c r="D67" s="207"/>
      <c r="E67" s="207"/>
      <c r="F67" s="207"/>
      <c r="G67" s="207"/>
      <c r="H67" s="208"/>
      <c r="I67" s="1">
        <v>168</v>
      </c>
      <c r="J67" s="120">
        <f>J56+J66</f>
        <v>107825182</v>
      </c>
      <c r="K67" s="120">
        <f>K56+K66</f>
        <v>-6648402</v>
      </c>
      <c r="L67" s="120">
        <f>L56+L66</f>
        <v>-177969916</v>
      </c>
      <c r="M67" s="120">
        <f>M56+M66</f>
        <v>-39383634</v>
      </c>
    </row>
    <row r="68" spans="1:13" ht="12.75" customHeight="1">
      <c r="A68" s="240" t="s">
        <v>276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</row>
    <row r="69" spans="1:13" ht="12.75" customHeight="1">
      <c r="A69" s="243" t="s">
        <v>153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</row>
    <row r="70" spans="1:13" ht="12.75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37" t="s">
        <v>200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M26 J48:M50 J27:M27 J7:M10 J33:M33 J12:M22 J42:M46 J28:J32 J34:J41 K34:K35 J23:J26 K23:K24 L34:M41 K28:K29 L28:L32 M28:M30 M32">
      <formula1>0</formula1>
    </dataValidation>
  </dataValidations>
  <printOptions/>
  <pageMargins left="0.7" right="0.24" top="0.23" bottom="0.27" header="0.18" footer="0.1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SheetLayoutView="100" workbookViewId="0" topLeftCell="A1">
      <selection activeCell="A11" sqref="A11:J11"/>
    </sheetView>
  </sheetViews>
  <sheetFormatPr defaultColWidth="9.140625" defaultRowHeight="12.75"/>
  <cols>
    <col min="1" max="5" width="9.140625" style="48" customWidth="1"/>
    <col min="6" max="6" width="6.28125" style="48" customWidth="1"/>
    <col min="7" max="7" width="3.28125" style="48" customWidth="1"/>
    <col min="8" max="8" width="5.421875" style="48" customWidth="1"/>
    <col min="9" max="9" width="6.7109375" style="48" customWidth="1"/>
    <col min="10" max="10" width="10.8515625" style="48" customWidth="1"/>
    <col min="11" max="11" width="12.00390625" style="48" customWidth="1"/>
    <col min="12" max="16384" width="9.140625" style="48" customWidth="1"/>
  </cols>
  <sheetData>
    <row r="1" spans="1:11" ht="22.5" customHeight="1">
      <c r="A1" s="267" t="s">
        <v>162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1.75" customHeight="1">
      <c r="A2" s="268" t="s">
        <v>306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5.75">
      <c r="A3" s="266" t="s">
        <v>299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9" t="s">
        <v>39</v>
      </c>
      <c r="B4" s="269"/>
      <c r="C4" s="269"/>
      <c r="D4" s="269"/>
      <c r="E4" s="269"/>
      <c r="F4" s="269"/>
      <c r="G4" s="269"/>
      <c r="H4" s="269"/>
      <c r="I4" s="58" t="s">
        <v>244</v>
      </c>
      <c r="J4" s="59" t="s">
        <v>281</v>
      </c>
      <c r="K4" s="59" t="s">
        <v>282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2">
        <v>2</v>
      </c>
      <c r="J5" s="63" t="s">
        <v>246</v>
      </c>
      <c r="K5" s="63" t="s">
        <v>247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59"/>
      <c r="J6" s="259"/>
      <c r="K6" s="260"/>
    </row>
    <row r="7" spans="1:11" ht="12.75">
      <c r="A7" s="203" t="s">
        <v>164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3116393654</v>
      </c>
      <c r="K7" s="7">
        <f>3098696163+4681523+2949939+147373481</f>
        <v>3253701106</v>
      </c>
    </row>
    <row r="8" spans="1:11" ht="12.75">
      <c r="A8" s="203" t="s">
        <v>93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94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5538010</v>
      </c>
      <c r="K9" s="7">
        <v>9791148</v>
      </c>
    </row>
    <row r="10" spans="1:11" ht="12.75">
      <c r="A10" s="203" t="s">
        <v>95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250390241</v>
      </c>
      <c r="K10" s="7">
        <v>317933980</v>
      </c>
    </row>
    <row r="11" spans="1:11" ht="12.75">
      <c r="A11" s="203" t="s">
        <v>96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7348958</v>
      </c>
      <c r="K11" s="7">
        <v>3834347</v>
      </c>
    </row>
    <row r="12" spans="1:11" ht="12.75">
      <c r="A12" s="206" t="s">
        <v>163</v>
      </c>
      <c r="B12" s="207"/>
      <c r="C12" s="207"/>
      <c r="D12" s="207"/>
      <c r="E12" s="207"/>
      <c r="F12" s="207"/>
      <c r="G12" s="207"/>
      <c r="H12" s="207"/>
      <c r="I12" s="1">
        <v>6</v>
      </c>
      <c r="J12" s="121">
        <f>SUM(J7:J11)</f>
        <v>3379670863</v>
      </c>
      <c r="K12" s="116">
        <f>SUM(K7:K11)</f>
        <v>3585260581</v>
      </c>
    </row>
    <row r="13" spans="1:11" ht="12.75">
      <c r="A13" s="203" t="s">
        <v>97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2959086260</v>
      </c>
      <c r="K13" s="7">
        <f>3105476064+9008160-14698097</f>
        <v>3099786127</v>
      </c>
    </row>
    <row r="14" spans="1:11" ht="12.75">
      <c r="A14" s="203" t="s">
        <v>98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269722252</v>
      </c>
      <c r="K14" s="7">
        <v>259338542</v>
      </c>
    </row>
    <row r="15" spans="1:11" ht="12.75">
      <c r="A15" s="203" t="s">
        <v>99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15347627</v>
      </c>
      <c r="K15" s="7">
        <v>14698097</v>
      </c>
    </row>
    <row r="16" spans="1:11" ht="12.75">
      <c r="A16" s="203" t="s">
        <v>100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29431695</v>
      </c>
      <c r="K16" s="7">
        <v>25627780</v>
      </c>
    </row>
    <row r="17" spans="1:11" ht="12.75">
      <c r="A17" s="203" t="s">
        <v>101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80843774</v>
      </c>
      <c r="K17" s="7">
        <f>5129423+133166427</f>
        <v>138295850</v>
      </c>
    </row>
    <row r="18" spans="1:11" ht="12.75">
      <c r="A18" s="203" t="s">
        <v>102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15922934</v>
      </c>
      <c r="K18" s="7">
        <v>17880850</v>
      </c>
    </row>
    <row r="19" spans="1:11" ht="12.75">
      <c r="A19" s="206" t="s">
        <v>32</v>
      </c>
      <c r="B19" s="207"/>
      <c r="C19" s="207"/>
      <c r="D19" s="207"/>
      <c r="E19" s="207"/>
      <c r="F19" s="207"/>
      <c r="G19" s="207"/>
      <c r="H19" s="207"/>
      <c r="I19" s="1">
        <v>13</v>
      </c>
      <c r="J19" s="121">
        <f>SUM(J13:J18)</f>
        <v>3370354542</v>
      </c>
      <c r="K19" s="116">
        <f>SUM(K13:K18)</f>
        <v>3555627246</v>
      </c>
    </row>
    <row r="20" spans="1:11" ht="24" customHeight="1">
      <c r="A20" s="206" t="s">
        <v>84</v>
      </c>
      <c r="B20" s="263"/>
      <c r="C20" s="263"/>
      <c r="D20" s="263"/>
      <c r="E20" s="263"/>
      <c r="F20" s="263"/>
      <c r="G20" s="263"/>
      <c r="H20" s="264"/>
      <c r="I20" s="1">
        <v>14</v>
      </c>
      <c r="J20" s="121">
        <f>IF(J12&gt;J19,J12-J19,0)</f>
        <v>9316321</v>
      </c>
      <c r="K20" s="116">
        <f>IF(K12&gt;K19,K12-K19,0)</f>
        <v>29633335</v>
      </c>
    </row>
    <row r="21" spans="1:11" ht="23.25" customHeight="1">
      <c r="A21" s="218" t="s">
        <v>85</v>
      </c>
      <c r="B21" s="261"/>
      <c r="C21" s="261"/>
      <c r="D21" s="261"/>
      <c r="E21" s="261"/>
      <c r="F21" s="261"/>
      <c r="G21" s="261"/>
      <c r="H21" s="262"/>
      <c r="I21" s="1">
        <v>15</v>
      </c>
      <c r="J21" s="121">
        <f>IF(J19&gt;J12,J19-J12,0)</f>
        <v>0</v>
      </c>
      <c r="K21" s="116">
        <f>IF(K19&gt;K12,K19-K12,0)</f>
        <v>0</v>
      </c>
    </row>
    <row r="22" spans="1:11" ht="12.75">
      <c r="A22" s="195" t="s">
        <v>131</v>
      </c>
      <c r="B22" s="196"/>
      <c r="C22" s="196"/>
      <c r="D22" s="196"/>
      <c r="E22" s="196"/>
      <c r="F22" s="196"/>
      <c r="G22" s="196"/>
      <c r="H22" s="196"/>
      <c r="I22" s="259"/>
      <c r="J22" s="259"/>
      <c r="K22" s="260"/>
    </row>
    <row r="23" spans="1:11" ht="12.75">
      <c r="A23" s="203" t="s">
        <v>136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53628</v>
      </c>
      <c r="K23" s="7">
        <v>272215</v>
      </c>
    </row>
    <row r="24" spans="1:11" ht="12.75">
      <c r="A24" s="203" t="s">
        <v>137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283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284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1322680</v>
      </c>
      <c r="K26" s="7">
        <v>677265</v>
      </c>
    </row>
    <row r="27" spans="1:11" ht="12.75">
      <c r="A27" s="203" t="s">
        <v>138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90</v>
      </c>
      <c r="B28" s="207"/>
      <c r="C28" s="207"/>
      <c r="D28" s="207"/>
      <c r="E28" s="207"/>
      <c r="F28" s="207"/>
      <c r="G28" s="207"/>
      <c r="H28" s="207"/>
      <c r="I28" s="1">
        <v>21</v>
      </c>
      <c r="J28" s="121">
        <f>SUM(J23:J27)</f>
        <v>1376308</v>
      </c>
      <c r="K28" s="116">
        <f>SUM(K23:K27)</f>
        <v>949480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39941196</v>
      </c>
      <c r="K29" s="7">
        <v>60656714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206940</v>
      </c>
      <c r="K30" s="7">
        <v>24273071</v>
      </c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7"/>
      <c r="K31" s="7"/>
    </row>
    <row r="32" spans="1:11" ht="12.75">
      <c r="A32" s="206" t="s">
        <v>33</v>
      </c>
      <c r="B32" s="207"/>
      <c r="C32" s="207"/>
      <c r="D32" s="207"/>
      <c r="E32" s="207"/>
      <c r="F32" s="207"/>
      <c r="G32" s="207"/>
      <c r="H32" s="207"/>
      <c r="I32" s="1">
        <v>25</v>
      </c>
      <c r="J32" s="121">
        <f>SUM(J29:J31)</f>
        <v>40148136</v>
      </c>
      <c r="K32" s="116">
        <f>SUM(K29:K31)</f>
        <v>84929785</v>
      </c>
    </row>
    <row r="33" spans="1:11" ht="25.5" customHeight="1">
      <c r="A33" s="206" t="s">
        <v>86</v>
      </c>
      <c r="B33" s="207"/>
      <c r="C33" s="207"/>
      <c r="D33" s="207"/>
      <c r="E33" s="207"/>
      <c r="F33" s="207"/>
      <c r="G33" s="207"/>
      <c r="H33" s="207"/>
      <c r="I33" s="1">
        <v>26</v>
      </c>
      <c r="J33" s="121">
        <f>IF(J28&gt;J32,J28-J32,0)</f>
        <v>0</v>
      </c>
      <c r="K33" s="116">
        <f>IF(K28&gt;K32,K28-K32,0)</f>
        <v>0</v>
      </c>
    </row>
    <row r="34" spans="1:11" ht="22.5" customHeight="1">
      <c r="A34" s="206" t="s">
        <v>87</v>
      </c>
      <c r="B34" s="207"/>
      <c r="C34" s="207"/>
      <c r="D34" s="207"/>
      <c r="E34" s="207"/>
      <c r="F34" s="207"/>
      <c r="G34" s="207"/>
      <c r="H34" s="207"/>
      <c r="I34" s="1">
        <v>27</v>
      </c>
      <c r="J34" s="121">
        <f>IF(J32&gt;J28,J32-J28,0)</f>
        <v>38771828</v>
      </c>
      <c r="K34" s="116">
        <f>IF(K32&gt;K28,K32-K28,0)</f>
        <v>83980305</v>
      </c>
    </row>
    <row r="35" spans="1:11" ht="12.75">
      <c r="A35" s="195" t="s">
        <v>132</v>
      </c>
      <c r="B35" s="196"/>
      <c r="C35" s="196"/>
      <c r="D35" s="196"/>
      <c r="E35" s="196"/>
      <c r="F35" s="196"/>
      <c r="G35" s="196"/>
      <c r="H35" s="196"/>
      <c r="I35" s="259">
        <v>0</v>
      </c>
      <c r="J35" s="259"/>
      <c r="K35" s="260"/>
    </row>
    <row r="36" spans="1:11" ht="12.75">
      <c r="A36" s="203" t="s">
        <v>144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23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875310154</v>
      </c>
      <c r="K37" s="7">
        <v>2302466500</v>
      </c>
    </row>
    <row r="38" spans="1:11" ht="12.75">
      <c r="A38" s="203" t="s">
        <v>24</v>
      </c>
      <c r="B38" s="204"/>
      <c r="C38" s="204"/>
      <c r="D38" s="204"/>
      <c r="E38" s="204"/>
      <c r="F38" s="204"/>
      <c r="G38" s="204"/>
      <c r="H38" s="204"/>
      <c r="I38" s="1">
        <v>30</v>
      </c>
      <c r="J38" s="7">
        <v>324909719</v>
      </c>
      <c r="K38" s="7">
        <v>808905757</v>
      </c>
    </row>
    <row r="39" spans="1:11" ht="12.75">
      <c r="A39" s="206" t="s">
        <v>34</v>
      </c>
      <c r="B39" s="207"/>
      <c r="C39" s="207"/>
      <c r="D39" s="207"/>
      <c r="E39" s="207"/>
      <c r="F39" s="207"/>
      <c r="G39" s="207"/>
      <c r="H39" s="207"/>
      <c r="I39" s="1">
        <v>31</v>
      </c>
      <c r="J39" s="116">
        <f>SUM(J36:J38)</f>
        <v>1200219873</v>
      </c>
      <c r="K39" s="116">
        <f>SUM(K36:K38)</f>
        <v>3111372257</v>
      </c>
    </row>
    <row r="40" spans="1:11" ht="12.75">
      <c r="A40" s="203" t="s">
        <v>25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903828114</v>
      </c>
      <c r="K40" s="7">
        <v>2233188722</v>
      </c>
    </row>
    <row r="41" spans="1:11" ht="12.75">
      <c r="A41" s="203" t="s">
        <v>26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/>
      <c r="K41" s="7"/>
    </row>
    <row r="42" spans="1:11" ht="12.75">
      <c r="A42" s="203" t="s">
        <v>27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/>
      <c r="K42" s="7"/>
    </row>
    <row r="43" spans="1:11" ht="12.75">
      <c r="A43" s="203" t="s">
        <v>28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/>
      <c r="K43" s="7"/>
    </row>
    <row r="44" spans="1:11" ht="12.75">
      <c r="A44" s="203" t="s">
        <v>29</v>
      </c>
      <c r="B44" s="204"/>
      <c r="C44" s="204"/>
      <c r="D44" s="204"/>
      <c r="E44" s="204"/>
      <c r="F44" s="204"/>
      <c r="G44" s="204"/>
      <c r="H44" s="204"/>
      <c r="I44" s="1">
        <v>36</v>
      </c>
      <c r="J44" s="7">
        <v>280919391</v>
      </c>
      <c r="K44" s="7">
        <v>817948971</v>
      </c>
    </row>
    <row r="45" spans="1:11" ht="12.75">
      <c r="A45" s="206" t="s">
        <v>122</v>
      </c>
      <c r="B45" s="207"/>
      <c r="C45" s="207"/>
      <c r="D45" s="207"/>
      <c r="E45" s="207"/>
      <c r="F45" s="207"/>
      <c r="G45" s="207"/>
      <c r="H45" s="207"/>
      <c r="I45" s="1">
        <v>37</v>
      </c>
      <c r="J45" s="116">
        <f>SUM(J40:J44)</f>
        <v>1184747505</v>
      </c>
      <c r="K45" s="116">
        <f>SUM(K40:K44)</f>
        <v>3051137693</v>
      </c>
    </row>
    <row r="46" spans="1:11" ht="21" customHeight="1">
      <c r="A46" s="206" t="s">
        <v>134</v>
      </c>
      <c r="B46" s="207"/>
      <c r="C46" s="207"/>
      <c r="D46" s="207"/>
      <c r="E46" s="207"/>
      <c r="F46" s="207"/>
      <c r="G46" s="207"/>
      <c r="H46" s="207"/>
      <c r="I46" s="1">
        <v>38</v>
      </c>
      <c r="J46" s="116">
        <f>IF(J39&gt;J45,J39-J45,0)</f>
        <v>15472368</v>
      </c>
      <c r="K46" s="116">
        <f>IF(K39&gt;K45,K39-K45,0)</f>
        <v>60234564</v>
      </c>
    </row>
    <row r="47" spans="1:11" ht="21" customHeight="1">
      <c r="A47" s="206" t="s">
        <v>135</v>
      </c>
      <c r="B47" s="207"/>
      <c r="C47" s="207"/>
      <c r="D47" s="207"/>
      <c r="E47" s="207"/>
      <c r="F47" s="207"/>
      <c r="G47" s="207"/>
      <c r="H47" s="207"/>
      <c r="I47" s="1">
        <v>39</v>
      </c>
      <c r="J47" s="116">
        <f>IF(J45&gt;J39,J45-J39,0)</f>
        <v>0</v>
      </c>
      <c r="K47" s="116">
        <f>IF(K45&gt;K39,K45-K39,0)</f>
        <v>0</v>
      </c>
    </row>
    <row r="48" spans="1:11" ht="12.75">
      <c r="A48" s="206" t="s">
        <v>123</v>
      </c>
      <c r="B48" s="207"/>
      <c r="C48" s="207"/>
      <c r="D48" s="207"/>
      <c r="E48" s="207"/>
      <c r="F48" s="207"/>
      <c r="G48" s="207"/>
      <c r="H48" s="207"/>
      <c r="I48" s="1">
        <v>40</v>
      </c>
      <c r="J48" s="116">
        <f>IF(J20-J21+J33-J34+J46-J47&gt;0,J20-J21+J33-J34+J46-J47,0)</f>
        <v>0</v>
      </c>
      <c r="K48" s="116">
        <f>IF(K20-K21+K33-K34+K46-K47&gt;0,K20-K21+K33-K34+K46-K47,0)</f>
        <v>5887594</v>
      </c>
    </row>
    <row r="49" spans="1:11" ht="12.75">
      <c r="A49" s="206" t="s">
        <v>12</v>
      </c>
      <c r="B49" s="207"/>
      <c r="C49" s="207"/>
      <c r="D49" s="207"/>
      <c r="E49" s="207"/>
      <c r="F49" s="207"/>
      <c r="G49" s="207"/>
      <c r="H49" s="207"/>
      <c r="I49" s="1">
        <v>41</v>
      </c>
      <c r="J49" s="116">
        <f>IF(J21-J20+J34-J33+J47-J46&gt;0,J21-J20+J34-J33+J47-J46,0)</f>
        <v>13983139</v>
      </c>
      <c r="K49" s="116">
        <f>IF(K21-K20+K34-K33+K47-K46&gt;0,K21-K20+K34-K33+K47-K46,0)</f>
        <v>0</v>
      </c>
    </row>
    <row r="50" spans="1:11" ht="12.75">
      <c r="A50" s="206" t="s">
        <v>133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v>21338547</v>
      </c>
      <c r="K50" s="7">
        <v>7355408</v>
      </c>
    </row>
    <row r="51" spans="1:11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/>
      <c r="K51" s="7">
        <v>5887594</v>
      </c>
    </row>
    <row r="52" spans="1:11" ht="12.75">
      <c r="A52" s="206" t="s">
        <v>146</v>
      </c>
      <c r="B52" s="207"/>
      <c r="C52" s="207"/>
      <c r="D52" s="207"/>
      <c r="E52" s="207"/>
      <c r="F52" s="207"/>
      <c r="G52" s="207"/>
      <c r="H52" s="207"/>
      <c r="I52" s="1">
        <v>44</v>
      </c>
      <c r="J52" s="7">
        <v>13983139</v>
      </c>
      <c r="K52" s="7"/>
    </row>
    <row r="53" spans="1:11" ht="12.75">
      <c r="A53" s="218" t="s">
        <v>147</v>
      </c>
      <c r="B53" s="219"/>
      <c r="C53" s="219"/>
      <c r="D53" s="219"/>
      <c r="E53" s="219"/>
      <c r="F53" s="219"/>
      <c r="G53" s="219"/>
      <c r="H53" s="219"/>
      <c r="I53" s="4">
        <v>45</v>
      </c>
      <c r="J53" s="56">
        <f>J50+J51-J52</f>
        <v>7355408</v>
      </c>
      <c r="K53" s="56">
        <f>K50+K51-K52</f>
        <v>13243002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7:K11 J13:K18 J23:K27 J50:K52 J29:K31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45:K49 J39:K39">
      <formula1>0</formula1>
    </dataValidation>
  </dataValidations>
  <printOptions/>
  <pageMargins left="0.75" right="0.52" top="0.63" bottom="0.6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view="pageBreakPreview" zoomScaleSheetLayoutView="100" workbookViewId="0" topLeftCell="A1">
      <selection activeCell="A11" sqref="A11:J11"/>
    </sheetView>
  </sheetViews>
  <sheetFormatPr defaultColWidth="9.140625" defaultRowHeight="12.75"/>
  <cols>
    <col min="1" max="1" width="9.140625" style="65" customWidth="1"/>
    <col min="2" max="2" width="7.140625" style="65" customWidth="1"/>
    <col min="3" max="3" width="7.57421875" style="65" customWidth="1"/>
    <col min="4" max="4" width="6.57421875" style="65" customWidth="1"/>
    <col min="5" max="5" width="7.140625" style="65" customWidth="1"/>
    <col min="6" max="6" width="6.8515625" style="65" customWidth="1"/>
    <col min="7" max="7" width="5.28125" style="65" customWidth="1"/>
    <col min="8" max="8" width="8.00390625" style="65" customWidth="1"/>
    <col min="9" max="9" width="7.28125" style="65" customWidth="1"/>
    <col min="10" max="10" width="9.8515625" style="65" customWidth="1"/>
    <col min="11" max="11" width="10.28125" style="65" customWidth="1"/>
    <col min="12" max="16384" width="9.140625" style="65" customWidth="1"/>
  </cols>
  <sheetData>
    <row r="1" spans="1:12" ht="34.5" customHeight="1">
      <c r="A1" s="286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64"/>
    </row>
    <row r="2" spans="1:12" ht="18" customHeight="1">
      <c r="A2" s="272" t="s">
        <v>308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66"/>
    </row>
    <row r="3" spans="1:12" ht="25.5" customHeight="1">
      <c r="A3" s="273" t="s">
        <v>299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123"/>
    </row>
    <row r="4" spans="1:11" ht="23.25">
      <c r="A4" s="270" t="s">
        <v>39</v>
      </c>
      <c r="B4" s="270"/>
      <c r="C4" s="270"/>
      <c r="D4" s="270"/>
      <c r="E4" s="270"/>
      <c r="F4" s="270"/>
      <c r="G4" s="270"/>
      <c r="H4" s="270"/>
      <c r="I4" s="68" t="s">
        <v>268</v>
      </c>
      <c r="J4" s="69" t="s">
        <v>124</v>
      </c>
      <c r="K4" s="69" t="s">
        <v>125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0" t="s">
        <v>246</v>
      </c>
      <c r="K5" s="70" t="s">
        <v>247</v>
      </c>
    </row>
    <row r="6" spans="1:11" ht="12.75">
      <c r="A6" s="276" t="s">
        <v>248</v>
      </c>
      <c r="B6" s="277"/>
      <c r="C6" s="277"/>
      <c r="D6" s="277"/>
      <c r="E6" s="277"/>
      <c r="F6" s="277"/>
      <c r="G6" s="277"/>
      <c r="H6" s="277"/>
      <c r="I6" s="40">
        <v>1</v>
      </c>
      <c r="J6" s="41">
        <v>902101590</v>
      </c>
      <c r="K6" s="41">
        <v>902101590</v>
      </c>
    </row>
    <row r="7" spans="1:11" ht="12.75">
      <c r="A7" s="276" t="s">
        <v>249</v>
      </c>
      <c r="B7" s="277"/>
      <c r="C7" s="277"/>
      <c r="D7" s="277"/>
      <c r="E7" s="277"/>
      <c r="F7" s="277"/>
      <c r="G7" s="277"/>
      <c r="H7" s="277"/>
      <c r="I7" s="40">
        <v>2</v>
      </c>
      <c r="J7" s="42"/>
      <c r="K7" s="42"/>
    </row>
    <row r="8" spans="1:11" ht="12.75">
      <c r="A8" s="276" t="s">
        <v>250</v>
      </c>
      <c r="B8" s="277"/>
      <c r="C8" s="277"/>
      <c r="D8" s="277"/>
      <c r="E8" s="277"/>
      <c r="F8" s="277"/>
      <c r="G8" s="277"/>
      <c r="H8" s="277"/>
      <c r="I8" s="40">
        <v>3</v>
      </c>
      <c r="J8" s="42"/>
      <c r="K8" s="42"/>
    </row>
    <row r="9" spans="1:11" ht="12.75">
      <c r="A9" s="276" t="s">
        <v>251</v>
      </c>
      <c r="B9" s="277"/>
      <c r="C9" s="277"/>
      <c r="D9" s="277"/>
      <c r="E9" s="277"/>
      <c r="F9" s="277"/>
      <c r="G9" s="277"/>
      <c r="H9" s="277"/>
      <c r="I9" s="40">
        <v>4</v>
      </c>
      <c r="J9" s="42">
        <v>-244817257</v>
      </c>
      <c r="K9" s="42">
        <v>-136992075</v>
      </c>
    </row>
    <row r="10" spans="1:11" ht="12.75">
      <c r="A10" s="276" t="s">
        <v>252</v>
      </c>
      <c r="B10" s="277"/>
      <c r="C10" s="277"/>
      <c r="D10" s="277"/>
      <c r="E10" s="277"/>
      <c r="F10" s="277"/>
      <c r="G10" s="277"/>
      <c r="H10" s="277"/>
      <c r="I10" s="40">
        <v>5</v>
      </c>
      <c r="J10" s="42">
        <v>107825182</v>
      </c>
      <c r="K10" s="42">
        <v>-177969916</v>
      </c>
    </row>
    <row r="11" spans="1:11" ht="12.75">
      <c r="A11" s="276" t="s">
        <v>253</v>
      </c>
      <c r="B11" s="277"/>
      <c r="C11" s="277"/>
      <c r="D11" s="277"/>
      <c r="E11" s="277"/>
      <c r="F11" s="277"/>
      <c r="G11" s="277"/>
      <c r="H11" s="277"/>
      <c r="I11" s="40">
        <v>6</v>
      </c>
      <c r="J11" s="42"/>
      <c r="K11" s="42"/>
    </row>
    <row r="12" spans="1:11" ht="12.75">
      <c r="A12" s="276" t="s">
        <v>254</v>
      </c>
      <c r="B12" s="277"/>
      <c r="C12" s="277"/>
      <c r="D12" s="277"/>
      <c r="E12" s="277"/>
      <c r="F12" s="277"/>
      <c r="G12" s="277"/>
      <c r="H12" s="277"/>
      <c r="I12" s="40">
        <v>7</v>
      </c>
      <c r="J12" s="42"/>
      <c r="K12" s="42"/>
    </row>
    <row r="13" spans="1:11" ht="12.75">
      <c r="A13" s="276" t="s">
        <v>255</v>
      </c>
      <c r="B13" s="277"/>
      <c r="C13" s="277"/>
      <c r="D13" s="277"/>
      <c r="E13" s="277"/>
      <c r="F13" s="277"/>
      <c r="G13" s="277"/>
      <c r="H13" s="277"/>
      <c r="I13" s="40">
        <v>8</v>
      </c>
      <c r="J13" s="42"/>
      <c r="K13" s="42"/>
    </row>
    <row r="14" spans="1:11" ht="12.75">
      <c r="A14" s="276" t="s">
        <v>256</v>
      </c>
      <c r="B14" s="277"/>
      <c r="C14" s="277"/>
      <c r="D14" s="277"/>
      <c r="E14" s="277"/>
      <c r="F14" s="277"/>
      <c r="G14" s="277"/>
      <c r="H14" s="277"/>
      <c r="I14" s="40">
        <v>9</v>
      </c>
      <c r="J14" s="42"/>
      <c r="K14" s="42"/>
    </row>
    <row r="15" spans="1:11" ht="12.75">
      <c r="A15" s="278" t="s">
        <v>257</v>
      </c>
      <c r="B15" s="279"/>
      <c r="C15" s="279"/>
      <c r="D15" s="279"/>
      <c r="E15" s="279"/>
      <c r="F15" s="279"/>
      <c r="G15" s="279"/>
      <c r="H15" s="279"/>
      <c r="I15" s="40">
        <v>10</v>
      </c>
      <c r="J15" s="116">
        <f>SUM(J6:J14)</f>
        <v>765109515</v>
      </c>
      <c r="K15" s="116">
        <f>SUM(K6:K14)</f>
        <v>587139599</v>
      </c>
    </row>
    <row r="16" spans="1:11" ht="12.75">
      <c r="A16" s="276" t="s">
        <v>258</v>
      </c>
      <c r="B16" s="277"/>
      <c r="C16" s="277"/>
      <c r="D16" s="277"/>
      <c r="E16" s="277"/>
      <c r="F16" s="277"/>
      <c r="G16" s="277"/>
      <c r="H16" s="277"/>
      <c r="I16" s="40">
        <v>11</v>
      </c>
      <c r="J16" s="42"/>
      <c r="K16" s="42"/>
    </row>
    <row r="17" spans="1:11" ht="12.75">
      <c r="A17" s="276" t="s">
        <v>259</v>
      </c>
      <c r="B17" s="277"/>
      <c r="C17" s="277"/>
      <c r="D17" s="277"/>
      <c r="E17" s="277"/>
      <c r="F17" s="277"/>
      <c r="G17" s="277"/>
      <c r="H17" s="277"/>
      <c r="I17" s="40">
        <v>12</v>
      </c>
      <c r="J17" s="42"/>
      <c r="K17" s="42"/>
    </row>
    <row r="18" spans="1:11" ht="12.75">
      <c r="A18" s="276" t="s">
        <v>260</v>
      </c>
      <c r="B18" s="277"/>
      <c r="C18" s="277"/>
      <c r="D18" s="277"/>
      <c r="E18" s="277"/>
      <c r="F18" s="277"/>
      <c r="G18" s="277"/>
      <c r="H18" s="277"/>
      <c r="I18" s="40">
        <v>13</v>
      </c>
      <c r="J18" s="42"/>
      <c r="K18" s="42"/>
    </row>
    <row r="19" spans="1:11" ht="12.75">
      <c r="A19" s="276" t="s">
        <v>261</v>
      </c>
      <c r="B19" s="277"/>
      <c r="C19" s="277"/>
      <c r="D19" s="277"/>
      <c r="E19" s="277"/>
      <c r="F19" s="277"/>
      <c r="G19" s="277"/>
      <c r="H19" s="277"/>
      <c r="I19" s="40">
        <v>14</v>
      </c>
      <c r="J19" s="42"/>
      <c r="K19" s="42"/>
    </row>
    <row r="20" spans="1:11" ht="12.75">
      <c r="A20" s="276" t="s">
        <v>262</v>
      </c>
      <c r="B20" s="277"/>
      <c r="C20" s="277"/>
      <c r="D20" s="277"/>
      <c r="E20" s="277"/>
      <c r="F20" s="277"/>
      <c r="G20" s="277"/>
      <c r="H20" s="277"/>
      <c r="I20" s="40">
        <v>15</v>
      </c>
      <c r="J20" s="42"/>
      <c r="K20" s="42"/>
    </row>
    <row r="21" spans="1:11" ht="12.75">
      <c r="A21" s="276" t="s">
        <v>263</v>
      </c>
      <c r="B21" s="277"/>
      <c r="C21" s="277"/>
      <c r="D21" s="277"/>
      <c r="E21" s="277"/>
      <c r="F21" s="277"/>
      <c r="G21" s="277"/>
      <c r="H21" s="277"/>
      <c r="I21" s="40">
        <v>16</v>
      </c>
      <c r="J21" s="42"/>
      <c r="K21" s="42"/>
    </row>
    <row r="22" spans="1:11" ht="12.75">
      <c r="A22" s="278" t="s">
        <v>264</v>
      </c>
      <c r="B22" s="279"/>
      <c r="C22" s="279"/>
      <c r="D22" s="279"/>
      <c r="E22" s="279"/>
      <c r="F22" s="279"/>
      <c r="G22" s="279"/>
      <c r="H22" s="279"/>
      <c r="I22" s="40">
        <v>17</v>
      </c>
      <c r="J22" s="120">
        <f>SUM(J16:J21)</f>
        <v>0</v>
      </c>
      <c r="K22" s="120">
        <f>SUM(K16:K21)</f>
        <v>0</v>
      </c>
    </row>
    <row r="23" spans="1:11" ht="12.75">
      <c r="A23" s="289"/>
      <c r="B23" s="290"/>
      <c r="C23" s="290"/>
      <c r="D23" s="290"/>
      <c r="E23" s="290"/>
      <c r="F23" s="290"/>
      <c r="G23" s="290"/>
      <c r="H23" s="290"/>
      <c r="I23" s="291"/>
      <c r="J23" s="291"/>
      <c r="K23" s="292"/>
    </row>
    <row r="24" spans="1:11" ht="12.75">
      <c r="A24" s="280" t="s">
        <v>265</v>
      </c>
      <c r="B24" s="281"/>
      <c r="C24" s="281"/>
      <c r="D24" s="281"/>
      <c r="E24" s="281"/>
      <c r="F24" s="281"/>
      <c r="G24" s="281"/>
      <c r="H24" s="281"/>
      <c r="I24" s="43">
        <v>18</v>
      </c>
      <c r="J24" s="41"/>
      <c r="K24" s="41"/>
    </row>
    <row r="25" spans="1:11" ht="17.25" customHeight="1">
      <c r="A25" s="282" t="s">
        <v>266</v>
      </c>
      <c r="B25" s="283"/>
      <c r="C25" s="283"/>
      <c r="D25" s="283"/>
      <c r="E25" s="283"/>
      <c r="F25" s="283"/>
      <c r="G25" s="283"/>
      <c r="H25" s="283"/>
      <c r="I25" s="44">
        <v>19</v>
      </c>
      <c r="J25" s="67"/>
      <c r="K25" s="67"/>
    </row>
    <row r="26" spans="1:11" ht="30" customHeight="1">
      <c r="A26" s="284" t="s">
        <v>267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0:H10"/>
    <mergeCell ref="A11:H11"/>
    <mergeCell ref="A18:H18"/>
    <mergeCell ref="A19:H19"/>
    <mergeCell ref="A12:H12"/>
    <mergeCell ref="A13:H13"/>
    <mergeCell ref="A14:H14"/>
    <mergeCell ref="A15:H15"/>
    <mergeCell ref="A6:H6"/>
    <mergeCell ref="A7:H7"/>
    <mergeCell ref="A8:H8"/>
    <mergeCell ref="A9:H9"/>
    <mergeCell ref="A4:H4"/>
    <mergeCell ref="A5:H5"/>
    <mergeCell ref="A2:K2"/>
    <mergeCell ref="A3:K3"/>
  </mergeCells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SheetLayoutView="100" workbookViewId="0" topLeftCell="A77">
      <selection activeCell="L96" sqref="L96"/>
    </sheetView>
  </sheetViews>
  <sheetFormatPr defaultColWidth="9.140625" defaultRowHeight="12.75"/>
  <sheetData>
    <row r="1" spans="1:10" ht="12.75">
      <c r="A1" s="125"/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293" t="s">
        <v>303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 customHeight="1">
      <c r="A4" s="294"/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5">
      <c r="A26" s="126"/>
      <c r="B26" s="126"/>
      <c r="C26" s="126"/>
      <c r="D26" s="126"/>
      <c r="E26" s="126"/>
      <c r="F26" s="126"/>
      <c r="G26" s="126"/>
      <c r="H26" s="126"/>
      <c r="I26" s="127"/>
      <c r="J26" s="126"/>
    </row>
    <row r="27" spans="1:10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 davor</cp:lastModifiedBy>
  <cp:lastPrinted>2013-02-08T11:11:04Z</cp:lastPrinted>
  <dcterms:created xsi:type="dcterms:W3CDTF">2008-10-17T11:51:54Z</dcterms:created>
  <dcterms:modified xsi:type="dcterms:W3CDTF">2013-02-14T06:49:58Z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