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'PK'!$A$1:$K$27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<sst xmlns="http://schemas.openxmlformats.org/spreadsheetml/2006/main" count="340" uniqueCount="310">
  <si>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</si>
  <si>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</si>
  <si>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</si>
  <si>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</si>
  <si>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</si>
  <si>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</si>
  <si>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</si>
  <si>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</si>
  <si>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</si>
  <si>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</si>
  <si>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</si>
  <si>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</si>
  <si>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</si>
  <si>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</si>
  <si>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</si>
  <si>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</si>
  <si>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</si>
  <si>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</si>
  <si>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</si>
  <si>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</si>
  <si>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</si>
  <si>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</si>
  <si>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</si>
  <si>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</si>
  <si>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</si>
  <si>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</si>
  <si>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</si>
  <si>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</si>
  <si>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</si>
  <si>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</si>
  <si>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</si>
  <si>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</si>
  <si>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</si>
  <si>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</si>
  <si>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</si>
  <si>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</si>
  <si>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</si>
  <si>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</si>
  <si>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</si>
  <si>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</si>
  <si>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</si>
  <si>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</si>
  <si>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</si>
  <si>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</si>
  <si>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</si>
  <si>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</si>
  <si>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</si>
  <si>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</si>
  <si>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</si>
  <si>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</si>
  <si>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</si>
  <si>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</si>
  <si>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</si>
  <si>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</si>
  <si>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</si>
  <si>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</si>
  <si>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</si>
  <si>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</si>
  <si>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</si>
  <si>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</si>
  <si>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</si>
  <si>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</si>
  <si>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</si>
  <si>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</si>
  <si>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</si>
  <si>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</si>
  <si>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</si>
  <si>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</si>
  <si>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</si>
  <si>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</si>
  <si>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</si>
  <si>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</si>
  <si>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</si>
  <si>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</si>
  <si>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</si>
  <si>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</si>
  <si>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</si>
  <si>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</si>
  <si>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</si>
  <si>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</si>
  <si>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</si>
  <si>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</si>
  <si>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</si>
  <si>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</si>
  <si>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</si>
  <si>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</si>
  <si>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</si>
  <si>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</si>
  <si>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</si>
  <si>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</si>
  <si>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</si>
  <si>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</si>
  <si>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</si>
  <si>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</si>
  <si>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</si>
  <si>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</si>
  <si>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</si>
  <si>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</si>
  <si>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</si>
  <si>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</si>
  <si>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</si>
  <si>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</si>
  <si>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</si>
  <si>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</si>
  <si>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</si>
  <si>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</si>
  <si>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</si>
  <si>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</si>
  <si>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</si>
  <si>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</si>
  <si>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</si>
  <si>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</si>
  <si>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</si>
  <si>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</si>
  <si>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</si>
  <si>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</si>
  <si>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</si>
  <si>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</si>
  <si>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</si>
  <si>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</si>
  <si>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</si>
  <si>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</si>
  <si>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</si>
  <si>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</si>
  <si>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</si>
  <si>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</si>
  <si>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</si>
  <si>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</si>
  <si>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</si>
  <si>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</si>
  <si>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</si>
  <si>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</si>
  <si>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</si>
  <si>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</si>
  <si>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</si>
  <si>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</si>
  <si>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</si>
  <si>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</si>
  <si>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</si>
  <si>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</si>
  <si>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</si>
  <si>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</si>
  <si>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</si>
  <si>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</si>
  <si>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</si>
  <si>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</si>
  <si>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</si>
  <si>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</si>
  <si>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</si>
  <si>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</si>
  <si>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</si>
  <si>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</si>
  <si>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</si>
  <si>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</si>
  <si>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</si>
  <si>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</si>
  <si>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</si>
  <si>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</si>
  <si>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</si>
  <si>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</si>
  <si>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</si>
  <si>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</si>
  <si>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</si>
  <si>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</si>
  <si>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</si>
  <si>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</si>
  <si>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</si>
  <si>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</si>
  <si>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</si>
  <si>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</si>
  <si>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</si>
  <si>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</si>
  <si>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</si>
  <si>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</si>
  <si>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</si>
  <si>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</si>
  <si>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</si>
  <si>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</si>
  <si>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</si>
  <si>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</si>
  <si>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</si>
  <si>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</si>
  <si>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</si>
  <si>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</si>
  <si>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</si>
  <si>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</si>
  <si>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</si>
  <si>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</si>
  <si>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</si>
  <si>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</si>
  <si>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</si>
  <si>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</si>
  <si>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</si>
  <si>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</si>
  <si>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</si>
  <si>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</si>
  <si>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</si>
  <si>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</si>
  <si>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</si>
  <si>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</si>
  <si>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</si>
  <si>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</si>
  <si>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</si>
  <si>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</si>
  <si>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</si>
  <si>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</si>
  <si>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</si>
  <si>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</si>
  <si>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</si>
  <si>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</si>
  <si>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</si>
  <si>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</si>
  <si>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</si>
  <si>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</si>
  <si>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</si>
  <si>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</si>
  <si>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</si>
  <si>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</si>
  <si>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</si>
  <si>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</si>
  <si>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</si>
  <si>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</si>
  <si>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</si>
  <si>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</si>
  <si>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</si>
  <si>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</si>
  <si>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</si>
  <si>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</si>
  <si>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</si>
  <si>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</si>
  <si>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</si>
  <si>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</si>
  <si>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</si>
  <si>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</si>
  <si>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</si>
  <si>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</si>
  <si>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</si>
  <si>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</si>
  <si>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</si>
  <si>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</si>
  <si>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</si>
  <si>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</si>
  <si>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</si>
  <si>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</si>
  <si>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</si>
  <si>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</si>
  <si>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</si>
  <si>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</si>
  <si>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</si>
  <si>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</si>
  <si>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</si>
  <si>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</si>
  <si>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</si>
  <si>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</si>
  <si>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</si>
  <si>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</si>
  <si>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</si>
  <si>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</si>
  <si>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</si>
  <si>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</si>
  <si>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</si>
  <si>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</si>
  <si>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</si>
  <si>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</si>
  <si>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</si>
  <si>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</si>
  <si>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</si>
  <si>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</si>
  <si>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</si>
  <si>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</si>
  <si>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</si>
  <si>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</si>
  <si>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</si>
  <si>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</si>
  <si>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</si>
  <si>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</si>
  <si>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</si>
  <si>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</si>
  <si>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</si>
  <si>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</si>
  <si>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</si>
  <si>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</si>
  <si>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</si>
  <si>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</si>
  <si>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</si>
  <si>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</si>
  <si>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</si>
  <si>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31.12.2011.</t>
  </si>
  <si>
    <t>03674223</t>
  </si>
  <si>
    <t>080004355</t>
  </si>
  <si>
    <t>24503685008</t>
  </si>
  <si>
    <t>PETROKEMIJA, d.d.</t>
  </si>
  <si>
    <t>KUTINA</t>
  </si>
  <si>
    <t>ALEJA VUKOVAR 4</t>
  </si>
  <si>
    <t>fin@petrokemija.hr</t>
  </si>
  <si>
    <t>www.petrokemija.hr</t>
  </si>
  <si>
    <t>SISAČKO-MOSLAVAČKA</t>
  </si>
  <si>
    <t>2015</t>
  </si>
  <si>
    <t>NE</t>
  </si>
  <si>
    <t>MARIĆ MARINA</t>
  </si>
  <si>
    <t>044-647-829</t>
  </si>
  <si>
    <t>044-682-819</t>
  </si>
  <si>
    <t>marina.maric@petrokemija.hr</t>
  </si>
  <si>
    <t>JAGUŠT JOSIP,  PEROŠEVIĆ-GALOVIĆ ANTONIJA</t>
  </si>
  <si>
    <t>stanje na dan 31.12.2011.</t>
  </si>
  <si>
    <t>Obveznik:  PETROKEMIJA, d.d.</t>
  </si>
  <si>
    <t>u razdoblju 01.01.2011. do 31.12.2011.</t>
  </si>
  <si>
    <t>Obveznik: PETROKEMIJA, d.d.</t>
  </si>
  <si>
    <t>Obveznik: PETROKEMIJA,d.d.</t>
  </si>
  <si>
    <t>za razdoblje od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</si>
</sst>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0" xfId="0" applyFill="1" applyBorder="1" applyAlignment="1">
      <alignment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10" fillId="0" borderId="33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left" vertical="center" wrapText="1"/>
      <protection/>
    </xf>
    <xf numFmtId="0" fontId="7" fillId="0" borderId="37" xfId="57" applyFont="1" applyFill="1" applyBorder="1" applyAlignment="1">
      <alignment horizontal="left" vertical="center" wrapText="1"/>
      <protection/>
    </xf>
    <xf numFmtId="0" fontId="7" fillId="0" borderId="38" xfId="57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0" t="s">
        <v>213</v>
      </c>
      <c r="B1" s="131"/>
      <c r="C1" s="13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50" t="s">
        <v>214</v>
      </c>
      <c r="B2" s="151"/>
      <c r="C2" s="151"/>
      <c r="D2" s="152"/>
      <c r="E2" s="113" t="s">
        <v>286</v>
      </c>
      <c r="F2" s="12"/>
      <c r="G2" s="13" t="s">
        <v>215</v>
      </c>
      <c r="H2" s="113" t="s">
        <v>287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53" t="s">
        <v>280</v>
      </c>
      <c r="B4" s="154"/>
      <c r="C4" s="154"/>
      <c r="D4" s="154"/>
      <c r="E4" s="154"/>
      <c r="F4" s="154"/>
      <c r="G4" s="154"/>
      <c r="H4" s="154"/>
      <c r="I4" s="155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6" t="s">
        <v>216</v>
      </c>
      <c r="B6" s="157"/>
      <c r="C6" s="148" t="s">
        <v>288</v>
      </c>
      <c r="D6" s="149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58" t="s">
        <v>217</v>
      </c>
      <c r="B8" s="159"/>
      <c r="C8" s="148" t="s">
        <v>289</v>
      </c>
      <c r="D8" s="149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9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45" t="s">
        <v>218</v>
      </c>
      <c r="B10" s="146"/>
      <c r="C10" s="148" t="s">
        <v>290</v>
      </c>
      <c r="D10" s="149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47"/>
      <c r="B11" s="146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6" t="s">
        <v>219</v>
      </c>
      <c r="B12" s="157"/>
      <c r="C12" s="160" t="s">
        <v>291</v>
      </c>
      <c r="D12" s="161"/>
      <c r="E12" s="161"/>
      <c r="F12" s="161"/>
      <c r="G12" s="161"/>
      <c r="H12" s="161"/>
      <c r="I12" s="162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6" t="s">
        <v>220</v>
      </c>
      <c r="B14" s="157"/>
      <c r="C14" s="163">
        <v>44320</v>
      </c>
      <c r="D14" s="164"/>
      <c r="E14" s="16"/>
      <c r="F14" s="160" t="s">
        <v>292</v>
      </c>
      <c r="G14" s="161"/>
      <c r="H14" s="161"/>
      <c r="I14" s="162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6" t="s">
        <v>221</v>
      </c>
      <c r="B16" s="157"/>
      <c r="C16" s="160" t="s">
        <v>293</v>
      </c>
      <c r="D16" s="161"/>
      <c r="E16" s="161"/>
      <c r="F16" s="161"/>
      <c r="G16" s="161"/>
      <c r="H16" s="161"/>
      <c r="I16" s="162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6" t="s">
        <v>222</v>
      </c>
      <c r="B18" s="157"/>
      <c r="C18" s="165" t="s">
        <v>294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6" t="s">
        <v>223</v>
      </c>
      <c r="B20" s="157"/>
      <c r="C20" s="165" t="s">
        <v>295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6" t="s">
        <v>224</v>
      </c>
      <c r="B22" s="157"/>
      <c r="C22" s="114">
        <v>220</v>
      </c>
      <c r="D22" s="160" t="s">
        <v>292</v>
      </c>
      <c r="E22" s="168"/>
      <c r="F22" s="169"/>
      <c r="G22" s="156"/>
      <c r="H22" s="170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56" t="s">
        <v>225</v>
      </c>
      <c r="B24" s="157"/>
      <c r="C24" s="114">
        <v>3</v>
      </c>
      <c r="D24" s="160" t="s">
        <v>296</v>
      </c>
      <c r="E24" s="168"/>
      <c r="F24" s="168"/>
      <c r="G24" s="169"/>
      <c r="H24" s="50" t="s">
        <v>226</v>
      </c>
      <c r="I24" s="115">
        <v>2301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281</v>
      </c>
      <c r="I25" s="91"/>
      <c r="J25" s="10"/>
      <c r="K25" s="10"/>
      <c r="L25" s="10"/>
    </row>
    <row r="26" spans="1:12" ht="12.75">
      <c r="A26" s="156" t="s">
        <v>227</v>
      </c>
      <c r="B26" s="157"/>
      <c r="C26" s="116" t="s">
        <v>298</v>
      </c>
      <c r="D26" s="25"/>
      <c r="E26" s="33"/>
      <c r="F26" s="24"/>
      <c r="G26" s="171" t="s">
        <v>228</v>
      </c>
      <c r="H26" s="157"/>
      <c r="I26" s="117" t="s">
        <v>297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72" t="s">
        <v>229</v>
      </c>
      <c r="B28" s="173"/>
      <c r="C28" s="174"/>
      <c r="D28" s="174"/>
      <c r="E28" s="175" t="s">
        <v>230</v>
      </c>
      <c r="F28" s="141"/>
      <c r="G28" s="141"/>
      <c r="H28" s="142" t="s">
        <v>231</v>
      </c>
      <c r="I28" s="143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44"/>
      <c r="B30" s="138"/>
      <c r="C30" s="138"/>
      <c r="D30" s="139"/>
      <c r="E30" s="144"/>
      <c r="F30" s="138"/>
      <c r="G30" s="138"/>
      <c r="H30" s="148"/>
      <c r="I30" s="149"/>
      <c r="J30" s="10"/>
      <c r="K30" s="10"/>
      <c r="L30" s="10"/>
    </row>
    <row r="31" spans="1:12" ht="12.75">
      <c r="A31" s="87"/>
      <c r="B31" s="22"/>
      <c r="C31" s="21"/>
      <c r="D31" s="140"/>
      <c r="E31" s="140"/>
      <c r="F31" s="140"/>
      <c r="G31" s="137"/>
      <c r="H31" s="16"/>
      <c r="I31" s="94"/>
      <c r="J31" s="10"/>
      <c r="K31" s="10"/>
      <c r="L31" s="10"/>
    </row>
    <row r="32" spans="1:12" ht="12.75">
      <c r="A32" s="144"/>
      <c r="B32" s="138"/>
      <c r="C32" s="138"/>
      <c r="D32" s="139"/>
      <c r="E32" s="144"/>
      <c r="F32" s="138"/>
      <c r="G32" s="138"/>
      <c r="H32" s="148"/>
      <c r="I32" s="149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44"/>
      <c r="B34" s="138"/>
      <c r="C34" s="138"/>
      <c r="D34" s="139"/>
      <c r="E34" s="144"/>
      <c r="F34" s="138"/>
      <c r="G34" s="138"/>
      <c r="H34" s="148"/>
      <c r="I34" s="149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44"/>
      <c r="B36" s="138"/>
      <c r="C36" s="138"/>
      <c r="D36" s="139"/>
      <c r="E36" s="144"/>
      <c r="F36" s="138"/>
      <c r="G36" s="138"/>
      <c r="H36" s="148"/>
      <c r="I36" s="149"/>
      <c r="J36" s="10"/>
      <c r="K36" s="10"/>
      <c r="L36" s="10"/>
    </row>
    <row r="37" spans="1:12" ht="12.75">
      <c r="A37" s="96"/>
      <c r="B37" s="30"/>
      <c r="C37" s="132"/>
      <c r="D37" s="133"/>
      <c r="E37" s="16"/>
      <c r="F37" s="132"/>
      <c r="G37" s="133"/>
      <c r="H37" s="16"/>
      <c r="I37" s="88"/>
      <c r="J37" s="10"/>
      <c r="K37" s="10"/>
      <c r="L37" s="10"/>
    </row>
    <row r="38" spans="1:12" ht="12.75">
      <c r="A38" s="144"/>
      <c r="B38" s="138"/>
      <c r="C38" s="138"/>
      <c r="D38" s="139"/>
      <c r="E38" s="144"/>
      <c r="F38" s="138"/>
      <c r="G38" s="138"/>
      <c r="H38" s="148"/>
      <c r="I38" s="149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44"/>
      <c r="B40" s="138"/>
      <c r="C40" s="138"/>
      <c r="D40" s="139"/>
      <c r="E40" s="144"/>
      <c r="F40" s="138"/>
      <c r="G40" s="138"/>
      <c r="H40" s="148"/>
      <c r="I40" s="14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45" t="s">
        <v>232</v>
      </c>
      <c r="B44" s="176"/>
      <c r="C44" s="148"/>
      <c r="D44" s="149"/>
      <c r="E44" s="26"/>
      <c r="F44" s="160"/>
      <c r="G44" s="138"/>
      <c r="H44" s="138"/>
      <c r="I44" s="139"/>
      <c r="J44" s="10"/>
      <c r="K44" s="10"/>
      <c r="L44" s="10"/>
    </row>
    <row r="45" spans="1:12" ht="12.75">
      <c r="A45" s="96"/>
      <c r="B45" s="30"/>
      <c r="C45" s="132"/>
      <c r="D45" s="133"/>
      <c r="E45" s="16"/>
      <c r="F45" s="132"/>
      <c r="G45" s="134"/>
      <c r="H45" s="35"/>
      <c r="I45" s="100"/>
      <c r="J45" s="10"/>
      <c r="K45" s="10"/>
      <c r="L45" s="10"/>
    </row>
    <row r="46" spans="1:12" ht="12.75">
      <c r="A46" s="145" t="s">
        <v>233</v>
      </c>
      <c r="B46" s="176"/>
      <c r="C46" s="160" t="s">
        <v>299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87"/>
      <c r="B47" s="22"/>
      <c r="C47" s="21" t="s">
        <v>234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45" t="s">
        <v>235</v>
      </c>
      <c r="B48" s="176"/>
      <c r="C48" s="177" t="s">
        <v>300</v>
      </c>
      <c r="D48" s="178"/>
      <c r="E48" s="179"/>
      <c r="F48" s="16"/>
      <c r="G48" s="50" t="s">
        <v>236</v>
      </c>
      <c r="H48" s="177" t="s">
        <v>301</v>
      </c>
      <c r="I48" s="179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45" t="s">
        <v>222</v>
      </c>
      <c r="B50" s="176"/>
      <c r="C50" s="182" t="s">
        <v>302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56" t="s">
        <v>237</v>
      </c>
      <c r="B52" s="157"/>
      <c r="C52" s="177" t="s">
        <v>303</v>
      </c>
      <c r="D52" s="178"/>
      <c r="E52" s="178"/>
      <c r="F52" s="178"/>
      <c r="G52" s="178"/>
      <c r="H52" s="178"/>
      <c r="I52" s="162"/>
      <c r="J52" s="10"/>
      <c r="K52" s="10"/>
      <c r="L52" s="10"/>
    </row>
    <row r="53" spans="1:12" ht="12.75">
      <c r="A53" s="101"/>
      <c r="B53" s="20"/>
      <c r="C53" s="126" t="s">
        <v>238</v>
      </c>
      <c r="D53" s="126"/>
      <c r="E53" s="126"/>
      <c r="F53" s="126"/>
      <c r="G53" s="126"/>
      <c r="H53" s="126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83" t="s">
        <v>239</v>
      </c>
      <c r="C55" s="184"/>
      <c r="D55" s="184"/>
      <c r="E55" s="184"/>
      <c r="F55" s="48"/>
      <c r="G55" s="48"/>
      <c r="H55" s="48"/>
      <c r="I55" s="103"/>
      <c r="J55" s="10"/>
      <c r="K55" s="10"/>
      <c r="L55" s="10"/>
    </row>
    <row r="56" spans="1:12" ht="12.75">
      <c r="A56" s="101"/>
      <c r="B56" s="185" t="s">
        <v>270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1"/>
      <c r="B57" s="185" t="s">
        <v>271</v>
      </c>
      <c r="C57" s="186"/>
      <c r="D57" s="186"/>
      <c r="E57" s="186"/>
      <c r="F57" s="186"/>
      <c r="G57" s="186"/>
      <c r="H57" s="186"/>
      <c r="I57" s="103"/>
      <c r="J57" s="10"/>
      <c r="K57" s="10"/>
      <c r="L57" s="10"/>
    </row>
    <row r="58" spans="1:12" ht="12.75">
      <c r="A58" s="101"/>
      <c r="B58" s="185" t="s">
        <v>272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1"/>
      <c r="B59" s="185" t="s">
        <v>273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240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241</v>
      </c>
      <c r="F62" s="33"/>
      <c r="G62" s="127" t="s">
        <v>242</v>
      </c>
      <c r="H62" s="128"/>
      <c r="I62" s="129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80"/>
      <c r="H63" s="181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cols>
    <col min="1" max="7" width="9.140625" style="51" customWidth="1"/>
    <col min="8" max="8" width="8.421875" style="51" customWidth="1"/>
    <col min="9" max="9" width="7.421875" style="51" customWidth="1"/>
    <col min="10" max="11" width="10.8515625" style="51" customWidth="1"/>
    <col min="12" max="16384" width="9.140625" style="51" customWidth="1"/>
  </cols>
  <sheetData>
    <row r="1" spans="1:11" ht="16.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6.5" customHeight="1">
      <c r="A2" s="226" t="s">
        <v>304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305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39</v>
      </c>
      <c r="B4" s="231"/>
      <c r="C4" s="231"/>
      <c r="D4" s="231"/>
      <c r="E4" s="231"/>
      <c r="F4" s="231"/>
      <c r="G4" s="231"/>
      <c r="H4" s="232"/>
      <c r="I4" s="56" t="s">
        <v>243</v>
      </c>
      <c r="J4" s="57" t="s">
        <v>282</v>
      </c>
      <c r="K4" s="58" t="s">
        <v>283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5">
        <v>2</v>
      </c>
      <c r="J5" s="54">
        <v>3</v>
      </c>
      <c r="K5" s="54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40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10</v>
      </c>
      <c r="B8" s="205"/>
      <c r="C8" s="205"/>
      <c r="D8" s="205"/>
      <c r="E8" s="205"/>
      <c r="F8" s="205"/>
      <c r="G8" s="205"/>
      <c r="H8" s="206"/>
      <c r="I8" s="1">
        <v>2</v>
      </c>
      <c r="J8" s="121">
        <f>J9+J16+J26+J35+J39</f>
        <v>823440193</v>
      </c>
      <c r="K8" s="121">
        <f>K9+K16+K26+K35+K39</f>
        <v>767561009</v>
      </c>
    </row>
    <row r="9" spans="1:11" ht="12.75">
      <c r="A9" s="201" t="s">
        <v>170</v>
      </c>
      <c r="B9" s="202"/>
      <c r="C9" s="202"/>
      <c r="D9" s="202"/>
      <c r="E9" s="202"/>
      <c r="F9" s="202"/>
      <c r="G9" s="202"/>
      <c r="H9" s="203"/>
      <c r="I9" s="1">
        <v>3</v>
      </c>
      <c r="J9" s="121">
        <f>SUM(J10:J15)</f>
        <v>8056658</v>
      </c>
      <c r="K9" s="121">
        <f>SUM(K10:K15)</f>
        <v>7666622</v>
      </c>
    </row>
    <row r="10" spans="1:11" ht="12.75">
      <c r="A10" s="201" t="s">
        <v>88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11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6614968</v>
      </c>
      <c r="K11" s="7">
        <v>5691975</v>
      </c>
    </row>
    <row r="12" spans="1:11" ht="12.75">
      <c r="A12" s="201" t="s">
        <v>89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173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174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1441690</v>
      </c>
      <c r="K14" s="7">
        <v>1974647</v>
      </c>
    </row>
    <row r="15" spans="1:11" ht="12.75">
      <c r="A15" s="201" t="s">
        <v>175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171</v>
      </c>
      <c r="B16" s="202"/>
      <c r="C16" s="202"/>
      <c r="D16" s="202"/>
      <c r="E16" s="202"/>
      <c r="F16" s="202"/>
      <c r="G16" s="202"/>
      <c r="H16" s="203"/>
      <c r="I16" s="1">
        <v>10</v>
      </c>
      <c r="J16" s="121">
        <f>SUM(J17:J25)</f>
        <v>784383239</v>
      </c>
      <c r="K16" s="121">
        <f>SUM(K17:K25)</f>
        <v>737831972</v>
      </c>
    </row>
    <row r="17" spans="1:11" ht="12.75">
      <c r="A17" s="201" t="s">
        <v>176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49419192</v>
      </c>
      <c r="K17" s="7">
        <v>49411756</v>
      </c>
    </row>
    <row r="18" spans="1:11" ht="12.75">
      <c r="A18" s="201" t="s">
        <v>212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320599498</v>
      </c>
      <c r="K18" s="7">
        <v>303807515</v>
      </c>
    </row>
    <row r="19" spans="1:11" ht="12.75">
      <c r="A19" s="201" t="s">
        <v>177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366697839</v>
      </c>
      <c r="K19" s="7">
        <v>354706148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13540974</v>
      </c>
      <c r="K20" s="7">
        <v>12502844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48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>
        <v>3081885</v>
      </c>
    </row>
    <row r="23" spans="1:11" ht="12.75">
      <c r="A23" s="201" t="s">
        <v>49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33653876</v>
      </c>
      <c r="K23" s="7">
        <v>13828059</v>
      </c>
    </row>
    <row r="24" spans="1:11" ht="12.75">
      <c r="A24" s="201" t="s">
        <v>50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471860</v>
      </c>
      <c r="K24" s="7">
        <v>493765</v>
      </c>
    </row>
    <row r="25" spans="1:11" ht="12.75">
      <c r="A25" s="201" t="s">
        <v>51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/>
      <c r="K25" s="7"/>
    </row>
    <row r="26" spans="1:11" ht="12.75">
      <c r="A26" s="201" t="s">
        <v>155</v>
      </c>
      <c r="B26" s="202"/>
      <c r="C26" s="202"/>
      <c r="D26" s="202"/>
      <c r="E26" s="202"/>
      <c r="F26" s="202"/>
      <c r="G26" s="202"/>
      <c r="H26" s="203"/>
      <c r="I26" s="1">
        <v>20</v>
      </c>
      <c r="J26" s="121">
        <f>SUM(J27:J34)</f>
        <v>31000296</v>
      </c>
      <c r="K26" s="121">
        <f>SUM(K27:K34)</f>
        <v>22062415</v>
      </c>
    </row>
    <row r="27" spans="1:11" ht="12.75">
      <c r="A27" s="201" t="s">
        <v>52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10736317</v>
      </c>
      <c r="K27" s="7">
        <v>7770691</v>
      </c>
    </row>
    <row r="28" spans="1:11" ht="12.75">
      <c r="A28" s="201" t="s">
        <v>53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54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12805351</v>
      </c>
      <c r="K29" s="7">
        <v>10766762</v>
      </c>
    </row>
    <row r="30" spans="1:11" ht="12.75">
      <c r="A30" s="201" t="s">
        <v>59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60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61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3278289</v>
      </c>
      <c r="K32" s="7"/>
    </row>
    <row r="33" spans="1:11" ht="12.75">
      <c r="A33" s="201" t="s">
        <v>55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148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4180339</v>
      </c>
      <c r="K34" s="7">
        <v>3524962</v>
      </c>
    </row>
    <row r="35" spans="1:11" ht="12.75">
      <c r="A35" s="201" t="s">
        <v>149</v>
      </c>
      <c r="B35" s="202"/>
      <c r="C35" s="202"/>
      <c r="D35" s="202"/>
      <c r="E35" s="202"/>
      <c r="F35" s="202"/>
      <c r="G35" s="202"/>
      <c r="H35" s="203"/>
      <c r="I35" s="1">
        <v>29</v>
      </c>
      <c r="J35" s="121">
        <f>SUM(J36:J38)</f>
        <v>0</v>
      </c>
      <c r="K35" s="121">
        <f>SUM(K36:K38)</f>
        <v>0</v>
      </c>
    </row>
    <row r="36" spans="1:11" ht="12.75">
      <c r="A36" s="201" t="s">
        <v>56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57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58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150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204" t="s">
        <v>205</v>
      </c>
      <c r="B40" s="205"/>
      <c r="C40" s="205"/>
      <c r="D40" s="205"/>
      <c r="E40" s="205"/>
      <c r="F40" s="205"/>
      <c r="G40" s="205"/>
      <c r="H40" s="206"/>
      <c r="I40" s="1">
        <v>34</v>
      </c>
      <c r="J40" s="121">
        <f>J41+J49+J56+J64</f>
        <v>708857331</v>
      </c>
      <c r="K40" s="121">
        <f>K41+K49+K56+K64</f>
        <v>876527328</v>
      </c>
    </row>
    <row r="41" spans="1:11" ht="12.75">
      <c r="A41" s="201" t="s">
        <v>76</v>
      </c>
      <c r="B41" s="202"/>
      <c r="C41" s="202"/>
      <c r="D41" s="202"/>
      <c r="E41" s="202"/>
      <c r="F41" s="202"/>
      <c r="G41" s="202"/>
      <c r="H41" s="203"/>
      <c r="I41" s="1">
        <v>35</v>
      </c>
      <c r="J41" s="121">
        <f>SUM(J42:J48)</f>
        <v>478795342</v>
      </c>
      <c r="K41" s="121">
        <f>SUM(K42:K48)</f>
        <v>653760359</v>
      </c>
    </row>
    <row r="42" spans="1:11" ht="12.75">
      <c r="A42" s="201" t="s">
        <v>91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226957336</v>
      </c>
      <c r="K42" s="7">
        <v>307535935</v>
      </c>
    </row>
    <row r="43" spans="1:11" ht="12.75">
      <c r="A43" s="201" t="s">
        <v>92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23553044</v>
      </c>
      <c r="K43" s="7">
        <v>41135157</v>
      </c>
    </row>
    <row r="44" spans="1:11" ht="12.75">
      <c r="A44" s="201" t="s">
        <v>62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219745764</v>
      </c>
      <c r="K44" s="7">
        <v>300391370</v>
      </c>
    </row>
    <row r="45" spans="1:11" ht="12.75">
      <c r="A45" s="201" t="s">
        <v>63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3788011</v>
      </c>
      <c r="K45" s="7">
        <v>4261657</v>
      </c>
    </row>
    <row r="46" spans="1:11" ht="12.75">
      <c r="A46" s="201" t="s">
        <v>64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4751187</v>
      </c>
      <c r="K46" s="7">
        <v>436240</v>
      </c>
    </row>
    <row r="47" spans="1:11" ht="12.75">
      <c r="A47" s="201" t="s">
        <v>65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66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77</v>
      </c>
      <c r="B49" s="202"/>
      <c r="C49" s="202"/>
      <c r="D49" s="202"/>
      <c r="E49" s="202"/>
      <c r="F49" s="202"/>
      <c r="G49" s="202"/>
      <c r="H49" s="203"/>
      <c r="I49" s="1">
        <v>43</v>
      </c>
      <c r="J49" s="121">
        <f>SUM(J50:J55)</f>
        <v>205175357</v>
      </c>
      <c r="K49" s="121">
        <f>SUM(K50:K55)</f>
        <v>195200328</v>
      </c>
    </row>
    <row r="50" spans="1:11" ht="12.75">
      <c r="A50" s="201" t="s">
        <v>165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/>
      <c r="K50" s="7">
        <v>4617071</v>
      </c>
    </row>
    <row r="51" spans="1:11" ht="12.75">
      <c r="A51" s="201" t="s">
        <v>166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87154900</v>
      </c>
      <c r="K51" s="7">
        <v>147436701</v>
      </c>
    </row>
    <row r="52" spans="1:11" ht="12.75">
      <c r="A52" s="201" t="s">
        <v>167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168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26293</v>
      </c>
      <c r="K53" s="7">
        <v>21316</v>
      </c>
    </row>
    <row r="54" spans="1:11" ht="12.75">
      <c r="A54" s="201" t="s">
        <v>7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117334954</v>
      </c>
      <c r="K54" s="7">
        <v>39789121</v>
      </c>
    </row>
    <row r="55" spans="1:11" ht="12.75">
      <c r="A55" s="201" t="s">
        <v>8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659210</v>
      </c>
      <c r="K55" s="7">
        <v>3336119</v>
      </c>
    </row>
    <row r="56" spans="1:11" ht="12.75">
      <c r="A56" s="201" t="s">
        <v>78</v>
      </c>
      <c r="B56" s="202"/>
      <c r="C56" s="202"/>
      <c r="D56" s="202"/>
      <c r="E56" s="202"/>
      <c r="F56" s="202"/>
      <c r="G56" s="202"/>
      <c r="H56" s="203"/>
      <c r="I56" s="1">
        <v>50</v>
      </c>
      <c r="J56" s="121">
        <f>SUM(J57:J63)</f>
        <v>3548085</v>
      </c>
      <c r="K56" s="121">
        <f>SUM(K57:K63)</f>
        <v>20211233</v>
      </c>
    </row>
    <row r="57" spans="1:11" ht="12.75">
      <c r="A57" s="201" t="s">
        <v>52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53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/>
      <c r="K58" s="7"/>
    </row>
    <row r="59" spans="1:11" ht="12.75">
      <c r="A59" s="201" t="s">
        <v>207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59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60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3548085</v>
      </c>
      <c r="K61" s="7">
        <v>5150393</v>
      </c>
    </row>
    <row r="62" spans="1:11" ht="12.75">
      <c r="A62" s="201" t="s">
        <v>61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/>
      <c r="K62" s="7">
        <v>15060840</v>
      </c>
    </row>
    <row r="63" spans="1:11" ht="12.75">
      <c r="A63" s="201" t="s">
        <v>31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172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21338547</v>
      </c>
      <c r="K64" s="7">
        <v>7355408</v>
      </c>
    </row>
    <row r="65" spans="1:11" ht="12.75">
      <c r="A65" s="204" t="s">
        <v>36</v>
      </c>
      <c r="B65" s="205"/>
      <c r="C65" s="205"/>
      <c r="D65" s="205"/>
      <c r="E65" s="205"/>
      <c r="F65" s="205"/>
      <c r="G65" s="205"/>
      <c r="H65" s="206"/>
      <c r="I65" s="1">
        <v>59</v>
      </c>
      <c r="J65" s="122">
        <v>1763118</v>
      </c>
      <c r="K65" s="122">
        <v>2733794</v>
      </c>
    </row>
    <row r="66" spans="1:11" ht="12.75">
      <c r="A66" s="204" t="s">
        <v>206</v>
      </c>
      <c r="B66" s="205"/>
      <c r="C66" s="205"/>
      <c r="D66" s="205"/>
      <c r="E66" s="205"/>
      <c r="F66" s="205"/>
      <c r="G66" s="205"/>
      <c r="H66" s="206"/>
      <c r="I66" s="1">
        <v>60</v>
      </c>
      <c r="J66" s="121">
        <f>J7+J8+J40+J65</f>
        <v>1534060642</v>
      </c>
      <c r="K66" s="121">
        <f>K7+K8+K40+K65</f>
        <v>1646822131</v>
      </c>
    </row>
    <row r="67" spans="1:11" ht="12.75">
      <c r="A67" s="216" t="s">
        <v>67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141203382</v>
      </c>
      <c r="K67" s="8">
        <v>186462200</v>
      </c>
    </row>
    <row r="68" spans="1:11" ht="12.75">
      <c r="A68" s="193" t="s">
        <v>38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156</v>
      </c>
      <c r="B69" s="198"/>
      <c r="C69" s="198"/>
      <c r="D69" s="198"/>
      <c r="E69" s="198"/>
      <c r="F69" s="198"/>
      <c r="G69" s="198"/>
      <c r="H69" s="215"/>
      <c r="I69" s="3">
        <v>62</v>
      </c>
      <c r="J69" s="123">
        <f>J70+J71+J72+J78+J79+J82+J85</f>
        <v>657284333</v>
      </c>
      <c r="K69" s="123">
        <f>K70+K71+K72+K78+K79+K82+K85</f>
        <v>765109515</v>
      </c>
    </row>
    <row r="70" spans="1:11" ht="12.75">
      <c r="A70" s="201" t="s">
        <v>115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902101590</v>
      </c>
      <c r="K70" s="7">
        <v>902101590</v>
      </c>
    </row>
    <row r="71" spans="1:11" ht="12.75">
      <c r="A71" s="201" t="s">
        <v>116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/>
    </row>
    <row r="72" spans="1:11" ht="12.75">
      <c r="A72" s="201" t="s">
        <v>117</v>
      </c>
      <c r="B72" s="202"/>
      <c r="C72" s="202"/>
      <c r="D72" s="202"/>
      <c r="E72" s="202"/>
      <c r="F72" s="202"/>
      <c r="G72" s="202"/>
      <c r="H72" s="203"/>
      <c r="I72" s="1">
        <v>65</v>
      </c>
      <c r="J72" s="121">
        <f>J73+J74-J75+J76+J77</f>
        <v>0</v>
      </c>
      <c r="K72" s="121">
        <f>K73+K74-K75+K76+K77</f>
        <v>0</v>
      </c>
    </row>
    <row r="73" spans="1:11" ht="12.75">
      <c r="A73" s="201" t="s">
        <v>118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/>
      <c r="K73" s="7"/>
    </row>
    <row r="74" spans="1:11" ht="12.75">
      <c r="A74" s="201" t="s">
        <v>119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107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108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109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 ht="12.75">
      <c r="A78" s="201" t="s">
        <v>110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/>
      <c r="K78" s="7"/>
    </row>
    <row r="79" spans="1:11" ht="12.75">
      <c r="A79" s="201" t="s">
        <v>203</v>
      </c>
      <c r="B79" s="202"/>
      <c r="C79" s="202"/>
      <c r="D79" s="202"/>
      <c r="E79" s="202"/>
      <c r="F79" s="202"/>
      <c r="G79" s="202"/>
      <c r="H79" s="203"/>
      <c r="I79" s="1">
        <v>72</v>
      </c>
      <c r="J79" s="121">
        <f>J80-J81</f>
        <v>-108711297</v>
      </c>
      <c r="K79" s="121">
        <f>K80-K81</f>
        <v>-244817257</v>
      </c>
    </row>
    <row r="80" spans="1:11" ht="12.75">
      <c r="A80" s="212" t="s">
        <v>139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140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108711297</v>
      </c>
      <c r="K81" s="7">
        <v>244817257</v>
      </c>
    </row>
    <row r="82" spans="1:11" ht="12.75">
      <c r="A82" s="201" t="s">
        <v>204</v>
      </c>
      <c r="B82" s="202"/>
      <c r="C82" s="202"/>
      <c r="D82" s="202"/>
      <c r="E82" s="202"/>
      <c r="F82" s="202"/>
      <c r="G82" s="202"/>
      <c r="H82" s="203"/>
      <c r="I82" s="1">
        <v>75</v>
      </c>
      <c r="J82" s="121">
        <f>J83-J84</f>
        <v>-136105960</v>
      </c>
      <c r="K82" s="121">
        <f>K83-K84</f>
        <v>107825182</v>
      </c>
    </row>
    <row r="83" spans="1:11" ht="12.75">
      <c r="A83" s="212" t="s">
        <v>141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/>
      <c r="K83" s="7">
        <v>107825182</v>
      </c>
    </row>
    <row r="84" spans="1:11" ht="12.75">
      <c r="A84" s="212" t="s">
        <v>142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136105960</v>
      </c>
      <c r="K84" s="7"/>
    </row>
    <row r="85" spans="1:11" ht="12.75">
      <c r="A85" s="201" t="s">
        <v>143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121">
        <f>SUM(J87:J89)</f>
        <v>14532303</v>
      </c>
      <c r="K86" s="121">
        <f>SUM(K87:K89)</f>
        <v>14197080</v>
      </c>
    </row>
    <row r="87" spans="1:11" ht="12.75">
      <c r="A87" s="201" t="s">
        <v>103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12282303</v>
      </c>
      <c r="K87" s="7">
        <v>12112252</v>
      </c>
    </row>
    <row r="88" spans="1:11" ht="12.75">
      <c r="A88" s="201" t="s">
        <v>104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105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2250000</v>
      </c>
      <c r="K89" s="7">
        <v>2084828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121">
        <f>SUM(J91:J99)</f>
        <v>62222222</v>
      </c>
      <c r="K90" s="121">
        <f>SUM(K91:K99)</f>
        <v>80000000</v>
      </c>
    </row>
    <row r="91" spans="1:11" ht="12.75">
      <c r="A91" s="201" t="s">
        <v>106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208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62222222</v>
      </c>
      <c r="K93" s="7">
        <v>80000000</v>
      </c>
    </row>
    <row r="94" spans="1:11" ht="12.75">
      <c r="A94" s="201" t="s">
        <v>209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210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211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70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68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69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21">
        <f>SUM(J101:J112)</f>
        <v>796587598</v>
      </c>
      <c r="K100" s="121">
        <f>SUM(K101:K112)</f>
        <v>784052266</v>
      </c>
    </row>
    <row r="101" spans="1:11" ht="12.75">
      <c r="A101" s="201" t="s">
        <v>106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4520449</v>
      </c>
      <c r="K101" s="7">
        <v>3492737</v>
      </c>
    </row>
    <row r="102" spans="1:11" ht="12.75">
      <c r="A102" s="201" t="s">
        <v>208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44000000</v>
      </c>
      <c r="K102" s="7">
        <v>12000000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310017961</v>
      </c>
      <c r="K103" s="7">
        <v>295722222</v>
      </c>
    </row>
    <row r="104" spans="1:11" ht="12.75">
      <c r="A104" s="201" t="s">
        <v>209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56326281</v>
      </c>
      <c r="K104" s="7">
        <v>25990680</v>
      </c>
    </row>
    <row r="105" spans="1:11" ht="12.75">
      <c r="A105" s="201" t="s">
        <v>210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334923497</v>
      </c>
      <c r="K105" s="7">
        <v>331324720</v>
      </c>
    </row>
    <row r="106" spans="1:11" ht="12.75">
      <c r="A106" s="201" t="s">
        <v>211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22125296</v>
      </c>
      <c r="K106" s="7">
        <v>81176464</v>
      </c>
    </row>
    <row r="107" spans="1:11" ht="12.75">
      <c r="A107" s="201" t="s">
        <v>70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71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13328610</v>
      </c>
      <c r="K108" s="7">
        <v>13613928</v>
      </c>
    </row>
    <row r="109" spans="1:11" ht="12.75">
      <c r="A109" s="201" t="s">
        <v>72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8172172</v>
      </c>
      <c r="K109" s="7">
        <v>9921035</v>
      </c>
    </row>
    <row r="110" spans="1:11" ht="12.75">
      <c r="A110" s="201" t="s">
        <v>75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73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74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3173332</v>
      </c>
      <c r="K112" s="7">
        <v>10810480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122">
        <v>3434186</v>
      </c>
      <c r="K113" s="122">
        <v>3463270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21">
        <f>J69+J86+J90+J100+J113</f>
        <v>1534060642</v>
      </c>
      <c r="K114" s="121">
        <f>K69+K86+K90+K100+K113</f>
        <v>1646822131</v>
      </c>
    </row>
    <row r="115" spans="1:11" ht="12.75">
      <c r="A115" s="190" t="s">
        <v>37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141203382</v>
      </c>
      <c r="K115" s="8">
        <v>186462200</v>
      </c>
    </row>
    <row r="116" spans="1:11" ht="12.75">
      <c r="A116" s="193" t="s">
        <v>274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151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5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6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275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1.03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cols>
    <col min="1" max="7" width="9.140625" style="51" customWidth="1"/>
    <col min="8" max="8" width="5.00390625" style="51" customWidth="1"/>
    <col min="9" max="9" width="6.8515625" style="51" customWidth="1"/>
    <col min="10" max="13" width="11.28125" style="51" customWidth="1"/>
    <col min="14" max="16384" width="9.140625" style="51" customWidth="1"/>
  </cols>
  <sheetData>
    <row r="1" spans="1:13" ht="23.2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24" customHeight="1">
      <c r="A2" s="233" t="s">
        <v>306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50" t="s">
        <v>307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1:13" ht="23.25">
      <c r="A4" s="253" t="s">
        <v>39</v>
      </c>
      <c r="B4" s="253"/>
      <c r="C4" s="253"/>
      <c r="D4" s="253"/>
      <c r="E4" s="253"/>
      <c r="F4" s="253"/>
      <c r="G4" s="253"/>
      <c r="H4" s="253"/>
      <c r="I4" s="56" t="s">
        <v>244</v>
      </c>
      <c r="J4" s="254" t="s">
        <v>282</v>
      </c>
      <c r="K4" s="254"/>
      <c r="L4" s="254" t="s">
        <v>283</v>
      </c>
      <c r="M4" s="254"/>
    </row>
    <row r="5" spans="1:13" ht="12.75">
      <c r="A5" s="253"/>
      <c r="B5" s="253"/>
      <c r="C5" s="253"/>
      <c r="D5" s="253"/>
      <c r="E5" s="253"/>
      <c r="F5" s="253"/>
      <c r="G5" s="253"/>
      <c r="H5" s="253"/>
      <c r="I5" s="56"/>
      <c r="J5" s="58" t="s">
        <v>278</v>
      </c>
      <c r="K5" s="58" t="s">
        <v>279</v>
      </c>
      <c r="L5" s="58" t="s">
        <v>278</v>
      </c>
      <c r="M5" s="58" t="s">
        <v>279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123">
        <f>SUM(J8:J9)</f>
        <v>2261446088</v>
      </c>
      <c r="K7" s="123">
        <f>SUM(K8:K9)</f>
        <v>752293559</v>
      </c>
      <c r="L7" s="123">
        <f>SUM(L8:L9)</f>
        <v>2945052975</v>
      </c>
      <c r="M7" s="123">
        <f>SUM(M8:M9)</f>
        <v>710503789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2220116050</v>
      </c>
      <c r="K8" s="7">
        <f>J8-1488179915</f>
        <v>731936135</v>
      </c>
      <c r="L8" s="7">
        <v>2895874255</v>
      </c>
      <c r="M8" s="7">
        <f>L8-2208656660</f>
        <v>687217595</v>
      </c>
    </row>
    <row r="9" spans="1:13" ht="12.75">
      <c r="A9" s="204" t="s">
        <v>79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41330038</v>
      </c>
      <c r="K9" s="7">
        <f>J9-20972614</f>
        <v>20357424</v>
      </c>
      <c r="L9" s="7">
        <v>49178720</v>
      </c>
      <c r="M9" s="7">
        <f>L9-25892526</f>
        <v>23286194</v>
      </c>
    </row>
    <row r="10" spans="1:13" ht="12.75">
      <c r="A10" s="204" t="s">
        <v>9</v>
      </c>
      <c r="B10" s="205"/>
      <c r="C10" s="205"/>
      <c r="D10" s="205"/>
      <c r="E10" s="205"/>
      <c r="F10" s="205"/>
      <c r="G10" s="205"/>
      <c r="H10" s="206"/>
      <c r="I10" s="1">
        <v>114</v>
      </c>
      <c r="J10" s="121">
        <f>J11+J12+J16+J20+J21+J22+J25+J26</f>
        <v>2364792422</v>
      </c>
      <c r="K10" s="121">
        <f>K11+K12+K16+K20+K21+K22+K25+K26</f>
        <v>752972220</v>
      </c>
      <c r="L10" s="121">
        <f>L11+L12+L16+L20+L21+L22+L25+L26</f>
        <v>2805899334</v>
      </c>
      <c r="M10" s="121">
        <f>M11+M12+M16+M20+M21+M22+M25+M26</f>
        <v>709231461</v>
      </c>
    </row>
    <row r="11" spans="1:13" ht="12.75">
      <c r="A11" s="204" t="s">
        <v>80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-36074972</v>
      </c>
      <c r="K11" s="7">
        <f>J11-(-17145700)</f>
        <v>-18929272</v>
      </c>
      <c r="L11" s="7">
        <v>-99921361</v>
      </c>
      <c r="M11" s="7">
        <f>L11-(-40463499)</f>
        <v>-59457862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121">
        <f>SUM(J13:J15)</f>
        <v>1976139343</v>
      </c>
      <c r="K12" s="121">
        <f>SUM(K13:K15)</f>
        <v>643050301</v>
      </c>
      <c r="L12" s="121">
        <f>SUM(L13:L15)</f>
        <v>2483206663</v>
      </c>
      <c r="M12" s="121">
        <f>SUM(M13:M15)</f>
        <v>671489883</v>
      </c>
    </row>
    <row r="13" spans="1:13" ht="12.75">
      <c r="A13" s="201" t="s">
        <v>120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1858059405</v>
      </c>
      <c r="K13" s="7">
        <f>J13-1249288523</f>
        <v>608770882</v>
      </c>
      <c r="L13" s="7">
        <v>2358138963</v>
      </c>
      <c r="M13" s="7">
        <f>L13-1720066249</f>
        <v>638072714</v>
      </c>
    </row>
    <row r="14" spans="1:13" ht="12.75">
      <c r="A14" s="201" t="s">
        <v>121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18146462</v>
      </c>
      <c r="K14" s="7">
        <f>J14-17129803</f>
        <v>1016659</v>
      </c>
      <c r="L14" s="7">
        <v>7814172</v>
      </c>
      <c r="M14" s="7">
        <f>L14-4542007</f>
        <v>3272165</v>
      </c>
    </row>
    <row r="15" spans="1:13" ht="12.75">
      <c r="A15" s="201" t="s">
        <v>41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99933476</v>
      </c>
      <c r="K15" s="7">
        <f>J15-66670716</f>
        <v>33262760</v>
      </c>
      <c r="L15" s="7">
        <v>117253528</v>
      </c>
      <c r="M15" s="7">
        <f>L15-87108524</f>
        <v>30145004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121">
        <f>SUM(J17:J19)</f>
        <v>216077242</v>
      </c>
      <c r="K16" s="121">
        <f>SUM(K17:K19)</f>
        <v>55476306</v>
      </c>
      <c r="L16" s="121">
        <f>SUM(L17:L19)</f>
        <v>232886938</v>
      </c>
      <c r="M16" s="121">
        <f>SUM(M17:M19)</f>
        <v>59820474</v>
      </c>
    </row>
    <row r="17" spans="1:13" ht="12.75">
      <c r="A17" s="201" t="s">
        <v>42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135862050</v>
      </c>
      <c r="K17" s="7">
        <f>J17-100818400</f>
        <v>35043650</v>
      </c>
      <c r="L17" s="7">
        <v>145820680</v>
      </c>
      <c r="M17" s="7">
        <f>L17-108388663</f>
        <v>37432017</v>
      </c>
    </row>
    <row r="18" spans="1:13" ht="12.75">
      <c r="A18" s="201" t="s">
        <v>43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48457432</v>
      </c>
      <c r="K18" s="7">
        <f>J18-36181304</f>
        <v>12276128</v>
      </c>
      <c r="L18" s="7">
        <v>52831890</v>
      </c>
      <c r="M18" s="7">
        <f>L18-39232737</f>
        <v>13599153</v>
      </c>
    </row>
    <row r="19" spans="1:13" ht="12.75">
      <c r="A19" s="201" t="s">
        <v>44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31757760</v>
      </c>
      <c r="K19" s="7">
        <f>J19-23601232</f>
        <v>8156528</v>
      </c>
      <c r="L19" s="7">
        <v>34234368</v>
      </c>
      <c r="M19" s="7">
        <f>L19-25445064</f>
        <v>8789304</v>
      </c>
    </row>
    <row r="20" spans="1:13" ht="12.75">
      <c r="A20" s="204" t="s">
        <v>81</v>
      </c>
      <c r="B20" s="205"/>
      <c r="C20" s="205"/>
      <c r="D20" s="205"/>
      <c r="E20" s="205"/>
      <c r="F20" s="205"/>
      <c r="G20" s="205"/>
      <c r="H20" s="206"/>
      <c r="I20" s="1">
        <v>124</v>
      </c>
      <c r="J20" s="122">
        <v>99324522</v>
      </c>
      <c r="K20" s="122">
        <f>J20-76317665</f>
        <v>23006857</v>
      </c>
      <c r="L20" s="122">
        <v>94062762</v>
      </c>
      <c r="M20" s="122">
        <f>L20-73539060</f>
        <v>20523702</v>
      </c>
    </row>
    <row r="21" spans="1:13" ht="12.75">
      <c r="A21" s="204" t="s">
        <v>82</v>
      </c>
      <c r="B21" s="205"/>
      <c r="C21" s="205"/>
      <c r="D21" s="205"/>
      <c r="E21" s="205"/>
      <c r="F21" s="205"/>
      <c r="G21" s="205"/>
      <c r="H21" s="206"/>
      <c r="I21" s="1">
        <v>125</v>
      </c>
      <c r="J21" s="122">
        <v>83707233</v>
      </c>
      <c r="K21" s="122">
        <f>J21-57733123</f>
        <v>25974110</v>
      </c>
      <c r="L21" s="122">
        <v>86197728</v>
      </c>
      <c r="M21" s="122">
        <f>L21-61106060</f>
        <v>25091668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121">
        <f>SUM(J23:J24)</f>
        <v>9902565</v>
      </c>
      <c r="K22" s="121">
        <f>SUM(K23:K24)</f>
        <v>8677429</v>
      </c>
      <c r="L22" s="121">
        <f>SUM(L23:L24)</f>
        <v>4969385</v>
      </c>
      <c r="M22" s="121">
        <f>SUM(M23:M24)</f>
        <v>4606377</v>
      </c>
    </row>
    <row r="23" spans="1:13" ht="12.75">
      <c r="A23" s="201" t="s">
        <v>111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35323</v>
      </c>
      <c r="K23" s="7">
        <f>J23-28689</f>
        <v>6634</v>
      </c>
      <c r="L23" s="7">
        <v>108297</v>
      </c>
      <c r="M23" s="7">
        <f>L23-23659</f>
        <v>84638</v>
      </c>
    </row>
    <row r="24" spans="1:13" ht="12.75">
      <c r="A24" s="201" t="s">
        <v>112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9867242</v>
      </c>
      <c r="K24" s="7">
        <f>J24-1196447</f>
        <v>8670795</v>
      </c>
      <c r="L24" s="7">
        <v>4861088</v>
      </c>
      <c r="M24" s="7">
        <f>L24-339349</f>
        <v>4521739</v>
      </c>
    </row>
    <row r="25" spans="1:13" ht="12.75">
      <c r="A25" s="204" t="s">
        <v>83</v>
      </c>
      <c r="B25" s="205"/>
      <c r="C25" s="205"/>
      <c r="D25" s="205"/>
      <c r="E25" s="205"/>
      <c r="F25" s="205"/>
      <c r="G25" s="205"/>
      <c r="H25" s="206"/>
      <c r="I25" s="1">
        <v>129</v>
      </c>
      <c r="J25" s="122">
        <v>15716489</v>
      </c>
      <c r="K25" s="122">
        <f>J25</f>
        <v>15716489</v>
      </c>
      <c r="L25" s="122">
        <v>4497219</v>
      </c>
      <c r="M25" s="122">
        <f>L25-17340000</f>
        <v>-12842781</v>
      </c>
    </row>
    <row r="26" spans="1:13" ht="12.75">
      <c r="A26" s="204" t="s">
        <v>35</v>
      </c>
      <c r="B26" s="205"/>
      <c r="C26" s="205"/>
      <c r="D26" s="205"/>
      <c r="E26" s="205"/>
      <c r="F26" s="205"/>
      <c r="G26" s="205"/>
      <c r="H26" s="206"/>
      <c r="I26" s="1">
        <v>130</v>
      </c>
      <c r="J26" s="122">
        <v>0</v>
      </c>
      <c r="K26" s="122">
        <v>0</v>
      </c>
      <c r="L26" s="122">
        <v>0</v>
      </c>
      <c r="M26" s="122">
        <v>0</v>
      </c>
    </row>
    <row r="27" spans="1:13" ht="12.75">
      <c r="A27" s="204" t="s">
        <v>178</v>
      </c>
      <c r="B27" s="205"/>
      <c r="C27" s="205"/>
      <c r="D27" s="205"/>
      <c r="E27" s="205"/>
      <c r="F27" s="205"/>
      <c r="G27" s="205"/>
      <c r="H27" s="206"/>
      <c r="I27" s="1">
        <v>131</v>
      </c>
      <c r="J27" s="121">
        <f>SUM(J28:J32)</f>
        <v>28232915</v>
      </c>
      <c r="K27" s="121">
        <f>SUM(K28:K32)</f>
        <v>-1772338</v>
      </c>
      <c r="L27" s="121">
        <f>SUM(L28:L32)</f>
        <v>24516070</v>
      </c>
      <c r="M27" s="121">
        <f>SUM(M28:M32)</f>
        <v>4986330</v>
      </c>
    </row>
    <row r="28" spans="1:13" ht="24" customHeight="1">
      <c r="A28" s="204" t="s">
        <v>192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1699267</v>
      </c>
      <c r="K28" s="7">
        <f>J28-20713</f>
        <v>1678554</v>
      </c>
      <c r="L28" s="7">
        <v>29766</v>
      </c>
      <c r="M28" s="7">
        <f>L28-24576</f>
        <v>5190</v>
      </c>
    </row>
    <row r="29" spans="1:13" ht="24" customHeight="1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26533648</v>
      </c>
      <c r="K29" s="7">
        <f>J29-29239095</f>
        <v>-2705447</v>
      </c>
      <c r="L29" s="7">
        <v>24486304</v>
      </c>
      <c r="M29" s="7">
        <f>L29-19505164</f>
        <v>4981140</v>
      </c>
    </row>
    <row r="30" spans="1:13" ht="18" customHeight="1">
      <c r="A30" s="204" t="s">
        <v>113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6.5" customHeight="1">
      <c r="A31" s="204" t="s">
        <v>188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>
        <v>-745445</v>
      </c>
      <c r="L31" s="7"/>
      <c r="M31" s="7"/>
    </row>
    <row r="32" spans="1:13" ht="17.25" customHeight="1">
      <c r="A32" s="204" t="s">
        <v>114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7.25" customHeight="1">
      <c r="A33" s="204" t="s">
        <v>179</v>
      </c>
      <c r="B33" s="205"/>
      <c r="C33" s="205"/>
      <c r="D33" s="205"/>
      <c r="E33" s="205"/>
      <c r="F33" s="205"/>
      <c r="G33" s="205"/>
      <c r="H33" s="206"/>
      <c r="I33" s="1">
        <v>137</v>
      </c>
      <c r="J33" s="121">
        <f>SUM(J34:J37)</f>
        <v>61935332</v>
      </c>
      <c r="K33" s="121">
        <f>SUM(K34:K37)</f>
        <v>7879008</v>
      </c>
      <c r="L33" s="121">
        <f>SUM(L34:L37)</f>
        <v>55925003</v>
      </c>
      <c r="M33" s="121">
        <f>SUM(M34:M37)</f>
        <v>12987534</v>
      </c>
    </row>
    <row r="34" spans="1:13" ht="18.75" customHeight="1">
      <c r="A34" s="204" t="s">
        <v>46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359842</v>
      </c>
      <c r="K34" s="7">
        <f>J34-287616</f>
        <v>72226</v>
      </c>
      <c r="L34" s="7">
        <v>227068</v>
      </c>
      <c r="M34" s="7">
        <f>L34-159364</f>
        <v>67704</v>
      </c>
    </row>
    <row r="35" spans="1:13" ht="24.75" customHeight="1">
      <c r="A35" s="204" t="s">
        <v>45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61530188</v>
      </c>
      <c r="K35" s="7">
        <f>J35-51075957</f>
        <v>10454231</v>
      </c>
      <c r="L35" s="7">
        <v>53659345</v>
      </c>
      <c r="M35" s="7">
        <f>L35-42778105</f>
        <v>10881240</v>
      </c>
    </row>
    <row r="36" spans="1:13" ht="17.25" customHeight="1">
      <c r="A36" s="204" t="s">
        <v>189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45302</v>
      </c>
      <c r="K36" s="7">
        <f>J36-2692751</f>
        <v>-2647449</v>
      </c>
      <c r="L36" s="7">
        <v>2038590</v>
      </c>
      <c r="M36" s="7">
        <v>2038590</v>
      </c>
    </row>
    <row r="37" spans="1:13" ht="18" customHeight="1">
      <c r="A37" s="204" t="s">
        <v>47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160</v>
      </c>
      <c r="B38" s="205"/>
      <c r="C38" s="205"/>
      <c r="D38" s="205"/>
      <c r="E38" s="205"/>
      <c r="F38" s="205"/>
      <c r="G38" s="205"/>
      <c r="H38" s="206"/>
      <c r="I38" s="1">
        <v>142</v>
      </c>
      <c r="J38" s="122">
        <v>942791</v>
      </c>
      <c r="K38" s="122">
        <f>J38</f>
        <v>942791</v>
      </c>
      <c r="L38" s="122">
        <v>80474</v>
      </c>
      <c r="M38" s="122">
        <v>80474</v>
      </c>
    </row>
    <row r="39" spans="1:13" ht="12.75">
      <c r="A39" s="204" t="s">
        <v>161</v>
      </c>
      <c r="B39" s="205"/>
      <c r="C39" s="205"/>
      <c r="D39" s="205"/>
      <c r="E39" s="205"/>
      <c r="F39" s="205"/>
      <c r="G39" s="205"/>
      <c r="H39" s="206"/>
      <c r="I39" s="1">
        <v>143</v>
      </c>
      <c r="J39" s="122"/>
      <c r="K39" s="122"/>
      <c r="L39" s="122"/>
      <c r="M39" s="122"/>
    </row>
    <row r="40" spans="1:13" ht="12.75">
      <c r="A40" s="204" t="s">
        <v>190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191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180</v>
      </c>
      <c r="B42" s="205"/>
      <c r="C42" s="205"/>
      <c r="D42" s="205"/>
      <c r="E42" s="205"/>
      <c r="F42" s="205"/>
      <c r="G42" s="205"/>
      <c r="H42" s="206"/>
      <c r="I42" s="1">
        <v>146</v>
      </c>
      <c r="J42" s="121">
        <f>J7+J27+J38+J40</f>
        <v>2290621794</v>
      </c>
      <c r="K42" s="121">
        <f>K7+K27+K38+K40</f>
        <v>751464012</v>
      </c>
      <c r="L42" s="121">
        <f>L7+L27+L38+L40</f>
        <v>2969649519</v>
      </c>
      <c r="M42" s="121">
        <f>M7+M27+M38+M40</f>
        <v>715570593</v>
      </c>
    </row>
    <row r="43" spans="1:13" ht="12.75">
      <c r="A43" s="204" t="s">
        <v>181</v>
      </c>
      <c r="B43" s="205"/>
      <c r="C43" s="205"/>
      <c r="D43" s="205"/>
      <c r="E43" s="205"/>
      <c r="F43" s="205"/>
      <c r="G43" s="205"/>
      <c r="H43" s="206"/>
      <c r="I43" s="1">
        <v>147</v>
      </c>
      <c r="J43" s="121">
        <f>J10+J33+J39+J41</f>
        <v>2426727754</v>
      </c>
      <c r="K43" s="121">
        <f>K10+K33+K39+K41</f>
        <v>760851228</v>
      </c>
      <c r="L43" s="121">
        <f>L10+L33+L39+L41</f>
        <v>2861824337</v>
      </c>
      <c r="M43" s="121">
        <f>M10+M33+M39+M41</f>
        <v>722218995</v>
      </c>
    </row>
    <row r="44" spans="1:13" ht="12.75">
      <c r="A44" s="204" t="s">
        <v>201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2">
        <f>J42-J43</f>
        <v>-136105960</v>
      </c>
      <c r="K44" s="52">
        <f>K42-K43</f>
        <v>-9387216</v>
      </c>
      <c r="L44" s="52">
        <f>L42-L43</f>
        <v>107825182</v>
      </c>
      <c r="M44" s="52">
        <f>M42-M43</f>
        <v>-6648402</v>
      </c>
    </row>
    <row r="45" spans="1:13" ht="12.75">
      <c r="A45" s="212" t="s">
        <v>183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107825182</v>
      </c>
      <c r="M45" s="52">
        <f>IF(M42&gt;M43,M42-M43,0)</f>
        <v>0</v>
      </c>
    </row>
    <row r="46" spans="1:13" ht="12.75">
      <c r="A46" s="212" t="s">
        <v>184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2">
        <f>IF(J43&gt;J42,J43-J42,0)</f>
        <v>136105960</v>
      </c>
      <c r="K46" s="52">
        <f>IF(K43&gt;K42,K43-K42,0)</f>
        <v>9387216</v>
      </c>
      <c r="L46" s="52">
        <f>IF(L43&gt;L42,L43-L42,0)</f>
        <v>0</v>
      </c>
      <c r="M46" s="52">
        <f>IF(M43&gt;M42,M43-M42,0)</f>
        <v>6648402</v>
      </c>
    </row>
    <row r="47" spans="1:13" ht="12.75">
      <c r="A47" s="204" t="s">
        <v>182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202</v>
      </c>
      <c r="B48" s="205"/>
      <c r="C48" s="205"/>
      <c r="D48" s="205"/>
      <c r="E48" s="205"/>
      <c r="F48" s="205"/>
      <c r="G48" s="205"/>
      <c r="H48" s="206"/>
      <c r="I48" s="1">
        <v>152</v>
      </c>
      <c r="J48" s="121">
        <f>J44-J47</f>
        <v>-136105960</v>
      </c>
      <c r="K48" s="121">
        <f>K44-K47</f>
        <v>-9387216</v>
      </c>
      <c r="L48" s="121">
        <f>L44-L47</f>
        <v>107825182</v>
      </c>
      <c r="M48" s="121">
        <f>M44-M47</f>
        <v>-6648402</v>
      </c>
    </row>
    <row r="49" spans="1:13" ht="12.75">
      <c r="A49" s="212" t="s">
        <v>157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107825182</v>
      </c>
      <c r="M49" s="52">
        <f>IF(M48&gt;0,M48,0)</f>
        <v>0</v>
      </c>
    </row>
    <row r="50" spans="1:13" ht="12.75">
      <c r="A50" s="247" t="s">
        <v>185</v>
      </c>
      <c r="B50" s="248"/>
      <c r="C50" s="248"/>
      <c r="D50" s="248"/>
      <c r="E50" s="248"/>
      <c r="F50" s="248"/>
      <c r="G50" s="248"/>
      <c r="H50" s="249"/>
      <c r="I50" s="4">
        <v>154</v>
      </c>
      <c r="J50" s="59">
        <f>IF(J48&lt;0,-J48,0)</f>
        <v>136105960</v>
      </c>
      <c r="K50" s="59">
        <f>IF(K48&lt;0,-K48,0)</f>
        <v>9387216</v>
      </c>
      <c r="L50" s="59">
        <f>IF(L48&lt;0,-L48,0)</f>
        <v>0</v>
      </c>
      <c r="M50" s="59">
        <f>IF(M48&lt;0,-M48,0)</f>
        <v>6648402</v>
      </c>
    </row>
    <row r="51" spans="1:13" ht="12.75" customHeight="1">
      <c r="A51" s="193" t="s">
        <v>276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246"/>
    </row>
    <row r="52" spans="1:13" ht="12.75" customHeight="1">
      <c r="A52" s="197" t="s">
        <v>152</v>
      </c>
      <c r="B52" s="198"/>
      <c r="C52" s="198"/>
      <c r="D52" s="198"/>
      <c r="E52" s="198"/>
      <c r="F52" s="198"/>
      <c r="G52" s="198"/>
      <c r="H52" s="198"/>
      <c r="I52" s="53"/>
      <c r="J52" s="53"/>
      <c r="K52" s="53"/>
      <c r="L52" s="53"/>
      <c r="M52" s="125"/>
    </row>
    <row r="53" spans="1:13" ht="12.75">
      <c r="A53" s="243" t="s">
        <v>199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200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3" t="s">
        <v>154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246"/>
    </row>
    <row r="56" spans="1:13" ht="12.75">
      <c r="A56" s="197" t="s">
        <v>169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f>J48</f>
        <v>-136105960</v>
      </c>
      <c r="K56" s="6">
        <f>K48</f>
        <v>-9387216</v>
      </c>
      <c r="L56" s="6">
        <f>L48</f>
        <v>107825182</v>
      </c>
      <c r="M56" s="6">
        <f>M48</f>
        <v>-6648402</v>
      </c>
    </row>
    <row r="57" spans="1:13" ht="12.75">
      <c r="A57" s="204" t="s">
        <v>186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21" customHeight="1">
      <c r="A58" s="204" t="s">
        <v>193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24" customHeight="1">
      <c r="A59" s="204" t="s">
        <v>194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24" customHeight="1">
      <c r="A60" s="204" t="s">
        <v>30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21" customHeight="1">
      <c r="A61" s="204" t="s">
        <v>195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7.25" customHeight="1">
      <c r="A62" s="204" t="s">
        <v>196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9.5" customHeight="1">
      <c r="A63" s="204" t="s">
        <v>197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9.5" customHeight="1">
      <c r="A64" s="204" t="s">
        <v>198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20.25" customHeight="1">
      <c r="A65" s="204" t="s">
        <v>187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24" customHeight="1">
      <c r="A66" s="204" t="s">
        <v>158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21" customHeight="1">
      <c r="A67" s="204" t="s">
        <v>159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9">
        <f>J56+J66</f>
        <v>-136105960</v>
      </c>
      <c r="K67" s="59">
        <f>K56+K66</f>
        <v>-9387216</v>
      </c>
      <c r="L67" s="59">
        <f>L56+L66</f>
        <v>107825182</v>
      </c>
      <c r="M67" s="59">
        <f>M56+M66</f>
        <v>-6648402</v>
      </c>
    </row>
    <row r="68" spans="1:13" ht="17.25" customHeight="1">
      <c r="A68" s="237" t="s">
        <v>277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9"/>
    </row>
    <row r="69" spans="1:13" ht="15.75" customHeight="1">
      <c r="A69" s="240" t="s">
        <v>153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2"/>
    </row>
    <row r="70" spans="1:13" ht="12.75">
      <c r="A70" s="243" t="s">
        <v>199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4" t="s">
        <v>200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24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cols>
    <col min="1" max="5" width="9.140625" style="51" customWidth="1"/>
    <col min="6" max="6" width="7.421875" style="51" customWidth="1"/>
    <col min="7" max="7" width="7.57421875" style="51" customWidth="1"/>
    <col min="8" max="8" width="3.28125" style="51" customWidth="1"/>
    <col min="9" max="9" width="7.421875" style="51" customWidth="1"/>
    <col min="10" max="10" width="11.8515625" style="51" customWidth="1"/>
    <col min="11" max="11" width="11.7109375" style="51" customWidth="1"/>
    <col min="12" max="16384" width="9.140625" style="51" customWidth="1"/>
  </cols>
  <sheetData>
    <row r="1" spans="1:11" ht="30" customHeight="1">
      <c r="A1" s="263" t="s">
        <v>162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8.75" customHeight="1">
      <c r="A2" s="264" t="s">
        <v>306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6.5" customHeight="1">
      <c r="A3" s="262" t="s">
        <v>308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23.25">
      <c r="A4" s="265" t="s">
        <v>39</v>
      </c>
      <c r="B4" s="265"/>
      <c r="C4" s="265"/>
      <c r="D4" s="265"/>
      <c r="E4" s="265"/>
      <c r="F4" s="265"/>
      <c r="G4" s="265"/>
      <c r="H4" s="265"/>
      <c r="I4" s="63" t="s">
        <v>244</v>
      </c>
      <c r="J4" s="64" t="s">
        <v>282</v>
      </c>
      <c r="K4" s="64" t="s">
        <v>283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7">
        <v>2</v>
      </c>
      <c r="J5" s="68" t="s">
        <v>247</v>
      </c>
      <c r="K5" s="68" t="s">
        <v>248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5"/>
      <c r="J6" s="255"/>
      <c r="K6" s="256"/>
    </row>
    <row r="7" spans="1:11" ht="12.75">
      <c r="A7" s="201" t="s">
        <v>164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2516430127</v>
      </c>
      <c r="K7" s="7">
        <v>3116393654</v>
      </c>
    </row>
    <row r="8" spans="1:11" ht="12.75">
      <c r="A8" s="201" t="s">
        <v>93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94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7567820</v>
      </c>
      <c r="K9" s="7">
        <v>5538010</v>
      </c>
    </row>
    <row r="10" spans="1:11" ht="12.75">
      <c r="A10" s="201" t="s">
        <v>95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194868437</v>
      </c>
      <c r="K10" s="7">
        <v>250390241</v>
      </c>
    </row>
    <row r="11" spans="1:11" ht="12.75">
      <c r="A11" s="201" t="s">
        <v>96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7150142</v>
      </c>
      <c r="K11" s="7">
        <v>7348958</v>
      </c>
    </row>
    <row r="12" spans="1:11" ht="12.75">
      <c r="A12" s="204" t="s">
        <v>163</v>
      </c>
      <c r="B12" s="205"/>
      <c r="C12" s="205"/>
      <c r="D12" s="205"/>
      <c r="E12" s="205"/>
      <c r="F12" s="205"/>
      <c r="G12" s="205"/>
      <c r="H12" s="205"/>
      <c r="I12" s="1">
        <v>6</v>
      </c>
      <c r="J12" s="124">
        <f>SUM(J7:J11)</f>
        <v>2726016526</v>
      </c>
      <c r="K12" s="121">
        <f>SUM(K7:K11)</f>
        <v>3379670863</v>
      </c>
    </row>
    <row r="13" spans="1:11" ht="12.75">
      <c r="A13" s="201" t="s">
        <v>97</v>
      </c>
      <c r="B13" s="202"/>
      <c r="C13" s="202"/>
      <c r="D13" s="202"/>
      <c r="E13" s="202"/>
      <c r="F13" s="202"/>
      <c r="G13" s="202"/>
      <c r="H13" s="202"/>
      <c r="I13" s="1">
        <v>7</v>
      </c>
      <c r="J13" s="5">
        <v>2359506367</v>
      </c>
      <c r="K13" s="7">
        <v>2959086260</v>
      </c>
    </row>
    <row r="14" spans="1:11" ht="12.75">
      <c r="A14" s="201" t="s">
        <v>98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245470345</v>
      </c>
      <c r="K14" s="7">
        <v>269722252</v>
      </c>
    </row>
    <row r="15" spans="1:11" ht="12.75">
      <c r="A15" s="201" t="s">
        <v>99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12555826</v>
      </c>
      <c r="K15" s="7">
        <v>15347627</v>
      </c>
    </row>
    <row r="16" spans="1:11" ht="12.75">
      <c r="A16" s="201" t="s">
        <v>100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24675288</v>
      </c>
      <c r="K16" s="7">
        <v>29431695</v>
      </c>
    </row>
    <row r="17" spans="1:11" ht="12.75">
      <c r="A17" s="201" t="s">
        <v>101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114126022</v>
      </c>
      <c r="K17" s="7">
        <v>80843774</v>
      </c>
    </row>
    <row r="18" spans="1:11" ht="12.75">
      <c r="A18" s="201" t="s">
        <v>102</v>
      </c>
      <c r="B18" s="202"/>
      <c r="C18" s="202"/>
      <c r="D18" s="202"/>
      <c r="E18" s="202"/>
      <c r="F18" s="202"/>
      <c r="G18" s="202"/>
      <c r="H18" s="202"/>
      <c r="I18" s="1">
        <v>12</v>
      </c>
      <c r="J18" s="5">
        <v>25921925</v>
      </c>
      <c r="K18" s="7">
        <v>15922934</v>
      </c>
    </row>
    <row r="19" spans="1:11" ht="12.75">
      <c r="A19" s="204" t="s">
        <v>32</v>
      </c>
      <c r="B19" s="205"/>
      <c r="C19" s="205"/>
      <c r="D19" s="205"/>
      <c r="E19" s="205"/>
      <c r="F19" s="205"/>
      <c r="G19" s="205"/>
      <c r="H19" s="205"/>
      <c r="I19" s="1">
        <v>13</v>
      </c>
      <c r="J19" s="124">
        <f>SUM(J13:J18)</f>
        <v>2782255773</v>
      </c>
      <c r="K19" s="121">
        <f>SUM(K13:K18)</f>
        <v>3370354542</v>
      </c>
    </row>
    <row r="20" spans="1:11" ht="27.75" customHeight="1">
      <c r="A20" s="204" t="s">
        <v>84</v>
      </c>
      <c r="B20" s="259"/>
      <c r="C20" s="259"/>
      <c r="D20" s="259"/>
      <c r="E20" s="259"/>
      <c r="F20" s="259"/>
      <c r="G20" s="259"/>
      <c r="H20" s="260"/>
      <c r="I20" s="1">
        <v>14</v>
      </c>
      <c r="J20" s="61">
        <f>IF(J12&gt;J19,J12-J19,0)</f>
        <v>0</v>
      </c>
      <c r="K20" s="52">
        <f>IF(K12&gt;K19,K12-K19,0)</f>
        <v>9316321</v>
      </c>
    </row>
    <row r="21" spans="1:11" ht="27.75" customHeight="1">
      <c r="A21" s="216" t="s">
        <v>85</v>
      </c>
      <c r="B21" s="257"/>
      <c r="C21" s="257"/>
      <c r="D21" s="257"/>
      <c r="E21" s="257"/>
      <c r="F21" s="257"/>
      <c r="G21" s="257"/>
      <c r="H21" s="258"/>
      <c r="I21" s="1">
        <v>15</v>
      </c>
      <c r="J21" s="61">
        <f>IF(J19&gt;J12,J19-J12,0)</f>
        <v>56239247</v>
      </c>
      <c r="K21" s="52">
        <f>IF(K19&gt;K12,K19-K12,0)</f>
        <v>0</v>
      </c>
    </row>
    <row r="22" spans="1:11" ht="12.75">
      <c r="A22" s="193" t="s">
        <v>131</v>
      </c>
      <c r="B22" s="194"/>
      <c r="C22" s="194"/>
      <c r="D22" s="194"/>
      <c r="E22" s="194"/>
      <c r="F22" s="194"/>
      <c r="G22" s="194"/>
      <c r="H22" s="194"/>
      <c r="I22" s="255"/>
      <c r="J22" s="255"/>
      <c r="K22" s="256"/>
    </row>
    <row r="23" spans="1:11" ht="12.75">
      <c r="A23" s="201" t="s">
        <v>136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17343</v>
      </c>
      <c r="K23" s="7">
        <v>53628</v>
      </c>
    </row>
    <row r="24" spans="1:11" ht="12.75">
      <c r="A24" s="201" t="s">
        <v>137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284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285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369664</v>
      </c>
      <c r="K26" s="7">
        <v>1322680</v>
      </c>
    </row>
    <row r="27" spans="1:11" ht="12.75">
      <c r="A27" s="201" t="s">
        <v>138</v>
      </c>
      <c r="B27" s="202"/>
      <c r="C27" s="202"/>
      <c r="D27" s="202"/>
      <c r="E27" s="202"/>
      <c r="F27" s="202"/>
      <c r="G27" s="202"/>
      <c r="H27" s="202"/>
      <c r="I27" s="1">
        <v>20</v>
      </c>
      <c r="J27" s="5"/>
      <c r="K27" s="7"/>
    </row>
    <row r="28" spans="1:11" ht="12.75">
      <c r="A28" s="204" t="s">
        <v>90</v>
      </c>
      <c r="B28" s="205"/>
      <c r="C28" s="205"/>
      <c r="D28" s="205"/>
      <c r="E28" s="205"/>
      <c r="F28" s="205"/>
      <c r="G28" s="205"/>
      <c r="H28" s="205"/>
      <c r="I28" s="1">
        <v>21</v>
      </c>
      <c r="J28" s="124">
        <f>SUM(J23:J27)</f>
        <v>387007</v>
      </c>
      <c r="K28" s="121">
        <f>SUM(K23:K27)</f>
        <v>1376308</v>
      </c>
    </row>
    <row r="29" spans="1:11" ht="12.75">
      <c r="A29" s="201" t="s">
        <v>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18341054</v>
      </c>
      <c r="K29" s="7">
        <v>39941196</v>
      </c>
    </row>
    <row r="30" spans="1:11" ht="12.75">
      <c r="A30" s="201" t="s">
        <v>3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328842</v>
      </c>
      <c r="K30" s="7">
        <v>206940</v>
      </c>
    </row>
    <row r="31" spans="1:11" ht="12.75">
      <c r="A31" s="201" t="s">
        <v>4</v>
      </c>
      <c r="B31" s="202"/>
      <c r="C31" s="202"/>
      <c r="D31" s="202"/>
      <c r="E31" s="202"/>
      <c r="F31" s="202"/>
      <c r="G31" s="202"/>
      <c r="H31" s="202"/>
      <c r="I31" s="1">
        <v>24</v>
      </c>
      <c r="J31" s="5"/>
      <c r="K31" s="7"/>
    </row>
    <row r="32" spans="1:11" ht="12.75">
      <c r="A32" s="204" t="s">
        <v>33</v>
      </c>
      <c r="B32" s="205"/>
      <c r="C32" s="205"/>
      <c r="D32" s="205"/>
      <c r="E32" s="205"/>
      <c r="F32" s="205"/>
      <c r="G32" s="205"/>
      <c r="H32" s="205"/>
      <c r="I32" s="1">
        <v>25</v>
      </c>
      <c r="J32" s="124">
        <f>SUM(J29:J31)</f>
        <v>18669896</v>
      </c>
      <c r="K32" s="121">
        <f>SUM(K29:K31)</f>
        <v>40148136</v>
      </c>
    </row>
    <row r="33" spans="1:11" ht="27" customHeight="1">
      <c r="A33" s="204" t="s">
        <v>86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22.5" customHeight="1">
      <c r="A34" s="204" t="s">
        <v>87</v>
      </c>
      <c r="B34" s="205"/>
      <c r="C34" s="205"/>
      <c r="D34" s="205"/>
      <c r="E34" s="205"/>
      <c r="F34" s="205"/>
      <c r="G34" s="205"/>
      <c r="H34" s="205"/>
      <c r="I34" s="1">
        <v>27</v>
      </c>
      <c r="J34" s="61">
        <f>IF(J32&gt;J28,J32-J28,0)</f>
        <v>18282889</v>
      </c>
      <c r="K34" s="52">
        <f>IF(K32&gt;K28,K32-K28,0)</f>
        <v>38771828</v>
      </c>
    </row>
    <row r="35" spans="1:11" ht="12.75">
      <c r="A35" s="193" t="s">
        <v>132</v>
      </c>
      <c r="B35" s="194"/>
      <c r="C35" s="194"/>
      <c r="D35" s="194"/>
      <c r="E35" s="194"/>
      <c r="F35" s="194"/>
      <c r="G35" s="194"/>
      <c r="H35" s="194"/>
      <c r="I35" s="255">
        <v>0</v>
      </c>
      <c r="J35" s="255"/>
      <c r="K35" s="256"/>
    </row>
    <row r="36" spans="1:11" ht="12.75">
      <c r="A36" s="201" t="s">
        <v>144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21664539</v>
      </c>
      <c r="K36" s="7">
        <v>81110800</v>
      </c>
    </row>
    <row r="37" spans="1:11" ht="12.75">
      <c r="A37" s="201" t="s">
        <v>23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498225388</v>
      </c>
      <c r="K37" s="7">
        <v>875310154</v>
      </c>
    </row>
    <row r="38" spans="1:11" ht="12.75">
      <c r="A38" s="201" t="s">
        <v>24</v>
      </c>
      <c r="B38" s="202"/>
      <c r="C38" s="202"/>
      <c r="D38" s="202"/>
      <c r="E38" s="202"/>
      <c r="F38" s="202"/>
      <c r="G38" s="202"/>
      <c r="H38" s="202"/>
      <c r="I38" s="1">
        <v>30</v>
      </c>
      <c r="J38" s="5">
        <v>309966111</v>
      </c>
      <c r="K38" s="7">
        <v>243798919</v>
      </c>
    </row>
    <row r="39" spans="1:11" ht="15.75" customHeight="1">
      <c r="A39" s="204" t="s">
        <v>34</v>
      </c>
      <c r="B39" s="205"/>
      <c r="C39" s="205"/>
      <c r="D39" s="205"/>
      <c r="E39" s="205"/>
      <c r="F39" s="205"/>
      <c r="G39" s="205"/>
      <c r="H39" s="205"/>
      <c r="I39" s="1">
        <v>31</v>
      </c>
      <c r="J39" s="124">
        <f>SUM(J36:J38)</f>
        <v>829856038</v>
      </c>
      <c r="K39" s="121">
        <f>SUM(K36:K38)</f>
        <v>1200219873</v>
      </c>
    </row>
    <row r="40" spans="1:11" ht="12.75">
      <c r="A40" s="201" t="s">
        <v>25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357730025</v>
      </c>
      <c r="K40" s="7">
        <v>903828114</v>
      </c>
    </row>
    <row r="41" spans="1:11" ht="12.75">
      <c r="A41" s="201" t="s">
        <v>26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27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28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201" t="s">
        <v>29</v>
      </c>
      <c r="B44" s="202"/>
      <c r="C44" s="202"/>
      <c r="D44" s="202"/>
      <c r="E44" s="202"/>
      <c r="F44" s="202"/>
      <c r="G44" s="202"/>
      <c r="H44" s="202"/>
      <c r="I44" s="1">
        <v>36</v>
      </c>
      <c r="J44" s="5">
        <v>402456198</v>
      </c>
      <c r="K44" s="7">
        <v>280919391</v>
      </c>
    </row>
    <row r="45" spans="1:11" ht="19.5" customHeight="1">
      <c r="A45" s="204" t="s">
        <v>122</v>
      </c>
      <c r="B45" s="205"/>
      <c r="C45" s="205"/>
      <c r="D45" s="205"/>
      <c r="E45" s="205"/>
      <c r="F45" s="205"/>
      <c r="G45" s="205"/>
      <c r="H45" s="205"/>
      <c r="I45" s="1">
        <v>37</v>
      </c>
      <c r="J45" s="124">
        <f>SUM(J40:J44)</f>
        <v>760186223</v>
      </c>
      <c r="K45" s="121">
        <f>SUM(K40:K44)</f>
        <v>1184747505</v>
      </c>
    </row>
    <row r="46" spans="1:11" ht="24.75" customHeight="1">
      <c r="A46" s="204" t="s">
        <v>134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IF(J39&gt;J45,J39-J45,0)</f>
        <v>69669815</v>
      </c>
      <c r="K46" s="52">
        <f>IF(K39&gt;K45,K39-K45,0)</f>
        <v>15472368</v>
      </c>
    </row>
    <row r="47" spans="1:11" ht="24" customHeight="1">
      <c r="A47" s="204" t="s">
        <v>135</v>
      </c>
      <c r="B47" s="205"/>
      <c r="C47" s="205"/>
      <c r="D47" s="205"/>
      <c r="E47" s="205"/>
      <c r="F47" s="205"/>
      <c r="G47" s="205"/>
      <c r="H47" s="205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04" t="s">
        <v>123</v>
      </c>
      <c r="B48" s="205"/>
      <c r="C48" s="205"/>
      <c r="D48" s="205"/>
      <c r="E48" s="205"/>
      <c r="F48" s="205"/>
      <c r="G48" s="205"/>
      <c r="H48" s="205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4" t="s">
        <v>12</v>
      </c>
      <c r="B49" s="205"/>
      <c r="C49" s="205"/>
      <c r="D49" s="205"/>
      <c r="E49" s="205"/>
      <c r="F49" s="205"/>
      <c r="G49" s="205"/>
      <c r="H49" s="205"/>
      <c r="I49" s="1">
        <v>41</v>
      </c>
      <c r="J49" s="61">
        <f>IF(J21-J20+J34-J33+J47-J46&gt;0,J21-J20+J34-J33+J47-J46,0)</f>
        <v>4852321</v>
      </c>
      <c r="K49" s="52">
        <f>IF(K21-K20+K34-K33+K47-K46&gt;0,K21-K20+K34-K33+K47-K46,0)</f>
        <v>13983139</v>
      </c>
    </row>
    <row r="50" spans="1:11" ht="12.75">
      <c r="A50" s="204" t="s">
        <v>133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26190868</v>
      </c>
      <c r="K50" s="7">
        <v>21338547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>
        <v>4852321</v>
      </c>
      <c r="K52" s="7">
        <v>13983139</v>
      </c>
    </row>
    <row r="53" spans="1:11" ht="12.75">
      <c r="A53" s="216" t="s">
        <v>147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2">
        <f>J50+J51-J52</f>
        <v>21338547</v>
      </c>
      <c r="K53" s="59">
        <f>K50+K51-K52</f>
        <v>7355408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89" right="0.75" top="0.72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cols>
    <col min="1" max="1" width="5.7109375" style="70" customWidth="1"/>
    <col min="2" max="2" width="3.7109375" style="70" customWidth="1"/>
    <col min="3" max="3" width="6.7109375" style="70" customWidth="1"/>
    <col min="4" max="4" width="11.00390625" style="70" customWidth="1"/>
    <col min="5" max="5" width="12.57421875" style="70" customWidth="1"/>
    <col min="6" max="6" width="7.140625" style="70" customWidth="1"/>
    <col min="7" max="7" width="9.140625" style="70" customWidth="1"/>
    <col min="8" max="8" width="5.421875" style="70" customWidth="1"/>
    <col min="9" max="9" width="7.140625" style="70" customWidth="1"/>
    <col min="10" max="11" width="11.140625" style="70" customWidth="1"/>
    <col min="12" max="16384" width="9.140625" style="70" customWidth="1"/>
  </cols>
  <sheetData>
    <row r="1" spans="1:12" ht="28.5" customHeight="1">
      <c r="A1" s="268" t="s">
        <v>246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9"/>
    </row>
    <row r="2" spans="1:12" ht="24" customHeight="1">
      <c r="A2" s="268" t="s">
        <v>309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71"/>
    </row>
    <row r="3" spans="1:12" ht="24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71"/>
    </row>
    <row r="4" spans="1:12" ht="21" customHeight="1">
      <c r="A4" s="269" t="s">
        <v>307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  <c r="L4" s="71"/>
    </row>
    <row r="5" spans="1:11" ht="23.25">
      <c r="A5" s="266" t="s">
        <v>39</v>
      </c>
      <c r="B5" s="266"/>
      <c r="C5" s="266"/>
      <c r="D5" s="266"/>
      <c r="E5" s="266"/>
      <c r="F5" s="266"/>
      <c r="G5" s="266"/>
      <c r="H5" s="266"/>
      <c r="I5" s="74" t="s">
        <v>269</v>
      </c>
      <c r="J5" s="75" t="s">
        <v>124</v>
      </c>
      <c r="K5" s="75" t="s">
        <v>125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77">
        <v>2</v>
      </c>
      <c r="J6" s="76" t="s">
        <v>247</v>
      </c>
      <c r="K6" s="76" t="s">
        <v>248</v>
      </c>
    </row>
    <row r="7" spans="1:11" ht="12.75">
      <c r="A7" s="272" t="s">
        <v>249</v>
      </c>
      <c r="B7" s="273"/>
      <c r="C7" s="273"/>
      <c r="D7" s="273"/>
      <c r="E7" s="273"/>
      <c r="F7" s="273"/>
      <c r="G7" s="273"/>
      <c r="H7" s="273"/>
      <c r="I7" s="43">
        <v>1</v>
      </c>
      <c r="J7" s="44">
        <v>902101590</v>
      </c>
      <c r="K7" s="44">
        <v>902101590</v>
      </c>
    </row>
    <row r="8" spans="1:11" ht="12.75">
      <c r="A8" s="272" t="s">
        <v>250</v>
      </c>
      <c r="B8" s="273"/>
      <c r="C8" s="273"/>
      <c r="D8" s="273"/>
      <c r="E8" s="273"/>
      <c r="F8" s="273"/>
      <c r="G8" s="273"/>
      <c r="H8" s="273"/>
      <c r="I8" s="43">
        <v>2</v>
      </c>
      <c r="J8" s="45"/>
      <c r="K8" s="45"/>
    </row>
    <row r="9" spans="1:11" ht="12.75">
      <c r="A9" s="272" t="s">
        <v>251</v>
      </c>
      <c r="B9" s="273"/>
      <c r="C9" s="273"/>
      <c r="D9" s="273"/>
      <c r="E9" s="273"/>
      <c r="F9" s="273"/>
      <c r="G9" s="273"/>
      <c r="H9" s="273"/>
      <c r="I9" s="43">
        <v>3</v>
      </c>
      <c r="J9" s="45"/>
      <c r="K9" s="45"/>
    </row>
    <row r="10" spans="1:11" ht="12.75">
      <c r="A10" s="272" t="s">
        <v>252</v>
      </c>
      <c r="B10" s="273"/>
      <c r="C10" s="273"/>
      <c r="D10" s="273"/>
      <c r="E10" s="273"/>
      <c r="F10" s="273"/>
      <c r="G10" s="273"/>
      <c r="H10" s="273"/>
      <c r="I10" s="43">
        <v>4</v>
      </c>
      <c r="J10" s="45">
        <v>-108711297</v>
      </c>
      <c r="K10" s="45">
        <v>-244817257</v>
      </c>
    </row>
    <row r="11" spans="1:11" ht="12.75">
      <c r="A11" s="272" t="s">
        <v>253</v>
      </c>
      <c r="B11" s="273"/>
      <c r="C11" s="273"/>
      <c r="D11" s="273"/>
      <c r="E11" s="273"/>
      <c r="F11" s="273"/>
      <c r="G11" s="273"/>
      <c r="H11" s="273"/>
      <c r="I11" s="43">
        <v>5</v>
      </c>
      <c r="J11" s="45">
        <v>-136105960</v>
      </c>
      <c r="K11" s="45">
        <v>107825182</v>
      </c>
    </row>
    <row r="12" spans="1:11" ht="12.75">
      <c r="A12" s="272" t="s">
        <v>254</v>
      </c>
      <c r="B12" s="273"/>
      <c r="C12" s="273"/>
      <c r="D12" s="273"/>
      <c r="E12" s="273"/>
      <c r="F12" s="273"/>
      <c r="G12" s="273"/>
      <c r="H12" s="273"/>
      <c r="I12" s="43">
        <v>6</v>
      </c>
      <c r="J12" s="45"/>
      <c r="K12" s="45"/>
    </row>
    <row r="13" spans="1:11" ht="12.75">
      <c r="A13" s="272" t="s">
        <v>255</v>
      </c>
      <c r="B13" s="273"/>
      <c r="C13" s="273"/>
      <c r="D13" s="273"/>
      <c r="E13" s="273"/>
      <c r="F13" s="273"/>
      <c r="G13" s="273"/>
      <c r="H13" s="273"/>
      <c r="I13" s="43">
        <v>7</v>
      </c>
      <c r="J13" s="45"/>
      <c r="K13" s="45"/>
    </row>
    <row r="14" spans="1:11" ht="12.75">
      <c r="A14" s="272" t="s">
        <v>256</v>
      </c>
      <c r="B14" s="273"/>
      <c r="C14" s="273"/>
      <c r="D14" s="273"/>
      <c r="E14" s="273"/>
      <c r="F14" s="273"/>
      <c r="G14" s="273"/>
      <c r="H14" s="273"/>
      <c r="I14" s="43">
        <v>8</v>
      </c>
      <c r="J14" s="45"/>
      <c r="K14" s="45"/>
    </row>
    <row r="15" spans="1:11" ht="12.75">
      <c r="A15" s="272" t="s">
        <v>257</v>
      </c>
      <c r="B15" s="273"/>
      <c r="C15" s="273"/>
      <c r="D15" s="273"/>
      <c r="E15" s="273"/>
      <c r="F15" s="273"/>
      <c r="G15" s="273"/>
      <c r="H15" s="273"/>
      <c r="I15" s="43">
        <v>9</v>
      </c>
      <c r="J15" s="45"/>
      <c r="K15" s="45"/>
    </row>
    <row r="16" spans="1:11" ht="12.75">
      <c r="A16" s="274" t="s">
        <v>258</v>
      </c>
      <c r="B16" s="275"/>
      <c r="C16" s="275"/>
      <c r="D16" s="275"/>
      <c r="E16" s="275"/>
      <c r="F16" s="275"/>
      <c r="G16" s="275"/>
      <c r="H16" s="275"/>
      <c r="I16" s="43">
        <v>10</v>
      </c>
      <c r="J16" s="72">
        <f>SUM(J7:J15)</f>
        <v>657284333</v>
      </c>
      <c r="K16" s="72">
        <f>SUM(K7:K15)</f>
        <v>765109515</v>
      </c>
    </row>
    <row r="17" spans="1:11" ht="12.75">
      <c r="A17" s="272" t="s">
        <v>259</v>
      </c>
      <c r="B17" s="273"/>
      <c r="C17" s="273"/>
      <c r="D17" s="273"/>
      <c r="E17" s="273"/>
      <c r="F17" s="273"/>
      <c r="G17" s="273"/>
      <c r="H17" s="273"/>
      <c r="I17" s="43">
        <v>11</v>
      </c>
      <c r="J17" s="45"/>
      <c r="K17" s="45"/>
    </row>
    <row r="18" spans="1:11" ht="12.75">
      <c r="A18" s="272" t="s">
        <v>260</v>
      </c>
      <c r="B18" s="273"/>
      <c r="C18" s="273"/>
      <c r="D18" s="273"/>
      <c r="E18" s="273"/>
      <c r="F18" s="273"/>
      <c r="G18" s="273"/>
      <c r="H18" s="273"/>
      <c r="I18" s="43">
        <v>12</v>
      </c>
      <c r="J18" s="45"/>
      <c r="K18" s="45"/>
    </row>
    <row r="19" spans="1:11" ht="12.75">
      <c r="A19" s="272" t="s">
        <v>261</v>
      </c>
      <c r="B19" s="273"/>
      <c r="C19" s="273"/>
      <c r="D19" s="273"/>
      <c r="E19" s="273"/>
      <c r="F19" s="273"/>
      <c r="G19" s="273"/>
      <c r="H19" s="273"/>
      <c r="I19" s="43">
        <v>13</v>
      </c>
      <c r="J19" s="45"/>
      <c r="K19" s="45"/>
    </row>
    <row r="20" spans="1:11" ht="12.75">
      <c r="A20" s="272" t="s">
        <v>262</v>
      </c>
      <c r="B20" s="273"/>
      <c r="C20" s="273"/>
      <c r="D20" s="273"/>
      <c r="E20" s="273"/>
      <c r="F20" s="273"/>
      <c r="G20" s="273"/>
      <c r="H20" s="273"/>
      <c r="I20" s="43">
        <v>14</v>
      </c>
      <c r="J20" s="45"/>
      <c r="K20" s="45"/>
    </row>
    <row r="21" spans="1:11" ht="12.75">
      <c r="A21" s="272" t="s">
        <v>263</v>
      </c>
      <c r="B21" s="273"/>
      <c r="C21" s="273"/>
      <c r="D21" s="273"/>
      <c r="E21" s="273"/>
      <c r="F21" s="273"/>
      <c r="G21" s="273"/>
      <c r="H21" s="273"/>
      <c r="I21" s="43">
        <v>15</v>
      </c>
      <c r="J21" s="45"/>
      <c r="K21" s="45"/>
    </row>
    <row r="22" spans="1:11" ht="12.75">
      <c r="A22" s="272" t="s">
        <v>264</v>
      </c>
      <c r="B22" s="273"/>
      <c r="C22" s="273"/>
      <c r="D22" s="273"/>
      <c r="E22" s="273"/>
      <c r="F22" s="273"/>
      <c r="G22" s="273"/>
      <c r="H22" s="273"/>
      <c r="I22" s="43">
        <v>16</v>
      </c>
      <c r="J22" s="45"/>
      <c r="K22" s="45"/>
    </row>
    <row r="23" spans="1:11" ht="12.75">
      <c r="A23" s="274" t="s">
        <v>265</v>
      </c>
      <c r="B23" s="275"/>
      <c r="C23" s="275"/>
      <c r="D23" s="275"/>
      <c r="E23" s="275"/>
      <c r="F23" s="275"/>
      <c r="G23" s="275"/>
      <c r="H23" s="275"/>
      <c r="I23" s="43">
        <v>17</v>
      </c>
      <c r="J23" s="73">
        <f>SUM(J17:J22)</f>
        <v>0</v>
      </c>
      <c r="K23" s="73">
        <f>SUM(K17:K22)</f>
        <v>0</v>
      </c>
    </row>
    <row r="24" spans="1:11" ht="12.75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 ht="12.75">
      <c r="A25" s="276" t="s">
        <v>266</v>
      </c>
      <c r="B25" s="277"/>
      <c r="C25" s="277"/>
      <c r="D25" s="277"/>
      <c r="E25" s="277"/>
      <c r="F25" s="277"/>
      <c r="G25" s="277"/>
      <c r="H25" s="277"/>
      <c r="I25" s="46">
        <v>18</v>
      </c>
      <c r="J25" s="44"/>
      <c r="K25" s="44"/>
    </row>
    <row r="26" spans="1:11" ht="17.25" customHeight="1">
      <c r="A26" s="278" t="s">
        <v>267</v>
      </c>
      <c r="B26" s="279"/>
      <c r="C26" s="279"/>
      <c r="D26" s="279"/>
      <c r="E26" s="279"/>
      <c r="F26" s="279"/>
      <c r="G26" s="279"/>
      <c r="H26" s="279"/>
      <c r="I26" s="47">
        <v>19</v>
      </c>
      <c r="J26" s="73"/>
      <c r="K26" s="73"/>
    </row>
    <row r="27" spans="1:11" ht="30" customHeight="1">
      <c r="A27" s="280" t="s">
        <v>268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</row>
  </sheetData>
  <sheetProtection/>
  <protectedRanges>
    <protectedRange sqref="E2:E4" name="Range1_1"/>
    <protectedRange sqref="G2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9:H9"/>
    <mergeCell ref="A10:H10"/>
    <mergeCell ref="A5:H5"/>
    <mergeCell ref="A6:H6"/>
    <mergeCell ref="A2:K2"/>
    <mergeCell ref="A4:K4"/>
  </mergeCells>
  <dataValidations count="1">
    <dataValidation allowBlank="1" sqref="A1:A65536 L1:IV65536 B1:K1 B5:K65536"/>
  </dataValidations>
  <printOptions/>
  <pageMargins left="0.75" right="0.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245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7.2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grubicb</cp:lastModifiedBy>
  <cp:lastPrinted>2012-02-13T07:53:07Z</cp:lastPrinted>
  <dcterms:created xsi:type="dcterms:W3CDTF">2008-10-17T11:51:54Z</dcterms:created>
  <dcterms:modified xsi:type="dcterms:W3CDTF">2012-02-13T07:56:28Z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