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'PK'!$A$1:$K$27</definedName>
  </definedNames>
  <calcPr fullCalcOnLoad="1"/>
</workbook>
</file>

<file path=xl/sharedStrings.xml><?xml version="1.0" encoding="utf-8"?>
<sst xmlns="http://schemas.openxmlformats.org/spreadsheetml/2006/main" count="349" uniqueCount="317">
  <si>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</si>
  <si>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</si>
  <si>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</si>
  <si>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</si>
  <si>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</si>
  <si>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</si>
  <si>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</si>
  <si>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</si>
  <si>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</si>
  <si>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</si>
  <si>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</si>
  <si>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</si>
  <si>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</si>
  <si>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</si>
  <si>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</si>
  <si>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</si>
  <si>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</si>
  <si>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</si>
  <si>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</si>
  <si>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</si>
  <si>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</si>
  <si>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</si>
  <si>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</si>
  <si>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</si>
  <si>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</si>
  <si>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</si>
  <si>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</si>
  <si>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</si>
  <si>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</si>
  <si>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</si>
  <si>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</si>
  <si>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</si>
  <si>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</si>
  <si>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</si>
  <si>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</si>
  <si>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</si>
  <si>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</si>
  <si>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</si>
  <si>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</si>
  <si>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</si>
  <si>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</si>
  <si>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</si>
  <si>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</si>
  <si>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</si>
  <si>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</si>
  <si>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</si>
  <si>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</si>
  <si>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</si>
  <si>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</si>
  <si>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</si>
  <si>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</si>
  <si>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</si>
  <si>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</si>
  <si>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</si>
  <si>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</si>
  <si>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</si>
  <si>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</si>
  <si>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</si>
  <si>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</si>
  <si>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</si>
  <si>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</si>
  <si>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</si>
  <si>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</si>
  <si>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</si>
  <si>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</si>
  <si>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</si>
  <si>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</si>
  <si>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</si>
  <si>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</si>
  <si>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</si>
  <si>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</si>
  <si>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</si>
  <si>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</si>
  <si>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</si>
  <si>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</si>
  <si>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</si>
  <si>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</si>
  <si>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</si>
  <si>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</si>
  <si>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</si>
  <si>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</si>
  <si>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</si>
  <si>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</si>
  <si>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</si>
  <si>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</si>
  <si>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</si>
  <si>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</si>
  <si>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</si>
  <si>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</si>
  <si>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</si>
  <si>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</si>
  <si>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</si>
  <si>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</si>
  <si>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</si>
  <si>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</si>
  <si>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</si>
  <si>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</si>
  <si>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</si>
  <si>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</si>
  <si>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</si>
  <si>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</si>
  <si>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</si>
  <si>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</si>
  <si>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</si>
  <si>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</si>
  <si>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</si>
  <si>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</si>
  <si>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</si>
  <si>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</si>
  <si>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</si>
  <si>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</si>
  <si>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</si>
  <si>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</si>
  <si>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</si>
  <si>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</si>
  <si>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</si>
  <si>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</si>
  <si>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</si>
  <si>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</si>
  <si>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</si>
  <si>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</si>
  <si>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</si>
  <si>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</si>
  <si>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</si>
  <si>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</si>
  <si>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</si>
  <si>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</si>
  <si>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</si>
  <si>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</si>
  <si>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</si>
  <si>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</si>
  <si>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</si>
  <si>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</si>
  <si>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</si>
  <si>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</si>
  <si>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</si>
  <si>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</si>
  <si>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</si>
  <si>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</si>
  <si>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</si>
  <si>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</si>
  <si>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</si>
  <si>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</si>
  <si>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</si>
  <si>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</si>
  <si>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</si>
  <si>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</si>
  <si>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</si>
  <si>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</si>
  <si>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</si>
  <si>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</si>
  <si>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</si>
  <si>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</si>
  <si>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</si>
  <si>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</si>
  <si>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</si>
  <si>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</si>
  <si>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</si>
  <si>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</si>
  <si>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</si>
  <si>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</si>
  <si>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</si>
  <si>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</si>
  <si>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</si>
  <si>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</si>
  <si>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</si>
  <si>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</si>
  <si>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</si>
  <si>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</si>
  <si>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</si>
  <si>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</si>
  <si>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</si>
  <si>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</si>
  <si>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</si>
  <si>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</si>
  <si>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</si>
  <si>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</si>
  <si>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</si>
  <si>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</si>
  <si>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</si>
  <si>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</si>
  <si>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</si>
  <si>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</si>
  <si>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</si>
  <si>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</si>
  <si>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</si>
  <si>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</si>
  <si>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</si>
  <si>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</si>
  <si>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</si>
  <si>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</si>
  <si>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</si>
  <si>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</si>
  <si>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</si>
  <si>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</si>
  <si>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</si>
  <si>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</si>
  <si>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</si>
  <si>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</si>
  <si>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</si>
  <si>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</si>
  <si>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</si>
  <si>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</si>
  <si>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</si>
  <si>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</si>
  <si>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</si>
  <si>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</si>
  <si>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</si>
  <si>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</si>
  <si>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</si>
  <si>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</si>
  <si>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</si>
  <si>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</si>
  <si>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</si>
  <si>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</si>
  <si>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</si>
  <si>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</si>
  <si>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</si>
  <si>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</si>
  <si>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</si>
  <si>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</si>
  <si>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</si>
  <si>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</si>
  <si>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</si>
  <si>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</si>
  <si>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</si>
  <si>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</si>
  <si>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</si>
  <si>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</si>
  <si>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</si>
  <si>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</si>
  <si>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</si>
  <si>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</si>
  <si>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</si>
  <si>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</si>
  <si>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</si>
  <si>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</si>
  <si>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</si>
  <si>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</si>
  <si>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</si>
  <si>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</si>
  <si>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</si>
  <si>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</si>
  <si>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</si>
  <si>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</si>
  <si>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</si>
  <si>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</si>
  <si>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</si>
  <si>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</si>
  <si>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</si>
  <si>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</si>
  <si>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</si>
  <si>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</si>
  <si>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</si>
  <si>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</si>
  <si>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</si>
  <si>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</si>
  <si>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</si>
  <si>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</si>
  <si>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</si>
  <si>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</si>
  <si>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</si>
  <si>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</si>
  <si>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</si>
  <si>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</si>
  <si>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</si>
  <si>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</si>
  <si>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</si>
  <si>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</si>
  <si>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</si>
  <si>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</si>
  <si>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</si>
  <si>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</si>
  <si>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</si>
  <si>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</si>
  <si>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</si>
  <si>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</si>
  <si>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</si>
  <si>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</si>
  <si>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</si>
  <si>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</si>
  <si>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</si>
  <si>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</si>
  <si>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</si>
  <si>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</si>
  <si>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</si>
  <si>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</si>
  <si>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31.12.2011.</t>
  </si>
  <si>
    <t>03674223</t>
  </si>
  <si>
    <t>080004355</t>
  </si>
  <si>
    <t>24503685008</t>
  </si>
  <si>
    <t>PETROKEMIJA, d.d.</t>
  </si>
  <si>
    <t>KUTINA</t>
  </si>
  <si>
    <t>ALEJA VUKOVAR 4</t>
  </si>
  <si>
    <t>fin@petrokemija.hr</t>
  </si>
  <si>
    <t>www.petrokemija.hr</t>
  </si>
  <si>
    <t>SISAČKO-MOSLAVAČKA</t>
  </si>
  <si>
    <t>2015</t>
  </si>
  <si>
    <t>MARIĆ MARINA</t>
  </si>
  <si>
    <t>044-647-829</t>
  </si>
  <si>
    <t>044-682-819</t>
  </si>
  <si>
    <t>marina.maric@petrokemija.hr</t>
  </si>
  <si>
    <t>JAGUŠT JOSIP,  PEROŠEVIĆ-GALOVIĆ ANTONIJA</t>
  </si>
  <si>
    <t>stanje na dan 31.12.2011.</t>
  </si>
  <si>
    <t>u razdoblju 01.01.2011. do 31.12.2011.</t>
  </si>
  <si>
    <t>za razdoblje od 01.01.2011. do 31.12.2011.</t>
  </si>
  <si>
    <t>DA</t>
  </si>
  <si>
    <t>RESTORAN PETROKEMIJA d.o.o.</t>
  </si>
  <si>
    <t>01335316</t>
  </si>
  <si>
    <t>PETROKEMIJA  d.o.o.</t>
  </si>
  <si>
    <t>NOVI SAD</t>
  </si>
  <si>
    <t>08754608</t>
  </si>
  <si>
    <t>NOVO MESTO</t>
  </si>
  <si>
    <t>12034614</t>
  </si>
  <si>
    <t>Obveznik:  GRUPA PETROKEMIJA, d.d.</t>
  </si>
  <si>
    <t>Obveznik: GRUPA PETROKEMIJA, d.d.</t>
  </si>
  <si>
    <t>Obveznik: GRUPA PETROKEMIJA,d.d.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</si>
</sst>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0" xfId="52" applyFont="1" applyBorder="1" applyProtection="1">
      <alignment vertical="top"/>
      <protection hidden="1"/>
    </xf>
    <xf numFmtId="0" fontId="0" fillId="0" borderId="30" xfId="0" applyFill="1" applyBorder="1" applyAlignment="1">
      <alignment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left" vertical="center" wrapText="1"/>
      <protection/>
    </xf>
    <xf numFmtId="0" fontId="2" fillId="0" borderId="37" xfId="57" applyFont="1" applyFill="1" applyBorder="1" applyAlignment="1">
      <alignment horizontal="left" vertical="center" wrapText="1"/>
      <protection/>
    </xf>
    <xf numFmtId="0" fontId="2" fillId="0" borderId="38" xfId="57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3" t="s">
        <v>213</v>
      </c>
      <c r="B1" s="164"/>
      <c r="C1" s="164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45" t="s">
        <v>214</v>
      </c>
      <c r="B2" s="136"/>
      <c r="C2" s="136"/>
      <c r="D2" s="137"/>
      <c r="E2" s="112" t="s">
        <v>286</v>
      </c>
      <c r="F2" s="12"/>
      <c r="G2" s="13" t="s">
        <v>215</v>
      </c>
      <c r="H2" s="112" t="s">
        <v>287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38" t="s">
        <v>280</v>
      </c>
      <c r="B4" s="139"/>
      <c r="C4" s="139"/>
      <c r="D4" s="139"/>
      <c r="E4" s="139"/>
      <c r="F4" s="139"/>
      <c r="G4" s="139"/>
      <c r="H4" s="139"/>
      <c r="I4" s="135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31" t="s">
        <v>216</v>
      </c>
      <c r="B6" s="132"/>
      <c r="C6" s="143" t="s">
        <v>288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33" t="s">
        <v>217</v>
      </c>
      <c r="B8" s="134"/>
      <c r="C8" s="143" t="s">
        <v>289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9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40" t="s">
        <v>218</v>
      </c>
      <c r="B10" s="141"/>
      <c r="C10" s="143" t="s">
        <v>290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31" t="s">
        <v>219</v>
      </c>
      <c r="B12" s="132"/>
      <c r="C12" s="126" t="s">
        <v>291</v>
      </c>
      <c r="D12" s="127"/>
      <c r="E12" s="127"/>
      <c r="F12" s="127"/>
      <c r="G12" s="127"/>
      <c r="H12" s="127"/>
      <c r="I12" s="128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31" t="s">
        <v>220</v>
      </c>
      <c r="B14" s="132"/>
      <c r="C14" s="129">
        <v>44320</v>
      </c>
      <c r="D14" s="130"/>
      <c r="E14" s="16"/>
      <c r="F14" s="126" t="s">
        <v>292</v>
      </c>
      <c r="G14" s="127"/>
      <c r="H14" s="127"/>
      <c r="I14" s="128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31" t="s">
        <v>221</v>
      </c>
      <c r="B16" s="132"/>
      <c r="C16" s="126" t="s">
        <v>293</v>
      </c>
      <c r="D16" s="127"/>
      <c r="E16" s="127"/>
      <c r="F16" s="127"/>
      <c r="G16" s="127"/>
      <c r="H16" s="127"/>
      <c r="I16" s="128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31" t="s">
        <v>222</v>
      </c>
      <c r="B18" s="132"/>
      <c r="C18" s="146" t="s">
        <v>294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31" t="s">
        <v>223</v>
      </c>
      <c r="B20" s="132"/>
      <c r="C20" s="146" t="s">
        <v>295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31" t="s">
        <v>224</v>
      </c>
      <c r="B22" s="132"/>
      <c r="C22" s="113">
        <v>220</v>
      </c>
      <c r="D22" s="126" t="s">
        <v>292</v>
      </c>
      <c r="E22" s="149"/>
      <c r="F22" s="150"/>
      <c r="G22" s="131"/>
      <c r="H22" s="15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31" t="s">
        <v>225</v>
      </c>
      <c r="B24" s="132"/>
      <c r="C24" s="113">
        <v>3</v>
      </c>
      <c r="D24" s="126" t="s">
        <v>296</v>
      </c>
      <c r="E24" s="149"/>
      <c r="F24" s="149"/>
      <c r="G24" s="150"/>
      <c r="H24" s="50" t="s">
        <v>226</v>
      </c>
      <c r="I24" s="114">
        <v>2312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281</v>
      </c>
      <c r="I25" s="91"/>
      <c r="J25" s="10"/>
      <c r="K25" s="10"/>
      <c r="L25" s="10"/>
    </row>
    <row r="26" spans="1:12" ht="12.75">
      <c r="A26" s="131" t="s">
        <v>227</v>
      </c>
      <c r="B26" s="132"/>
      <c r="C26" s="115" t="s">
        <v>306</v>
      </c>
      <c r="D26" s="25"/>
      <c r="E26" s="33"/>
      <c r="F26" s="24"/>
      <c r="G26" s="152" t="s">
        <v>228</v>
      </c>
      <c r="H26" s="132"/>
      <c r="I26" s="116" t="s">
        <v>297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56" t="s">
        <v>229</v>
      </c>
      <c r="B28" s="157"/>
      <c r="C28" s="158"/>
      <c r="D28" s="158"/>
      <c r="E28" s="159" t="s">
        <v>230</v>
      </c>
      <c r="F28" s="160"/>
      <c r="G28" s="160"/>
      <c r="H28" s="161" t="s">
        <v>231</v>
      </c>
      <c r="I28" s="162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3" t="s">
        <v>307</v>
      </c>
      <c r="B30" s="154"/>
      <c r="C30" s="154"/>
      <c r="D30" s="155"/>
      <c r="E30" s="153" t="s">
        <v>292</v>
      </c>
      <c r="F30" s="154"/>
      <c r="G30" s="154"/>
      <c r="H30" s="143" t="s">
        <v>308</v>
      </c>
      <c r="I30" s="144"/>
      <c r="J30" s="10"/>
      <c r="K30" s="10"/>
      <c r="L30" s="10"/>
    </row>
    <row r="31" spans="1:12" ht="12.75">
      <c r="A31" s="87"/>
      <c r="B31" s="22"/>
      <c r="C31" s="21"/>
      <c r="D31" s="28"/>
      <c r="E31" s="28"/>
      <c r="F31" s="28"/>
      <c r="G31" s="29"/>
      <c r="H31" s="124"/>
      <c r="I31" s="94"/>
      <c r="J31" s="10"/>
      <c r="K31" s="10"/>
      <c r="L31" s="10"/>
    </row>
    <row r="32" spans="1:12" ht="12.75">
      <c r="A32" s="153" t="s">
        <v>309</v>
      </c>
      <c r="B32" s="154"/>
      <c r="C32" s="154"/>
      <c r="D32" s="155"/>
      <c r="E32" s="153" t="s">
        <v>310</v>
      </c>
      <c r="F32" s="154"/>
      <c r="G32" s="154"/>
      <c r="H32" s="143" t="s">
        <v>311</v>
      </c>
      <c r="I32" s="144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24"/>
      <c r="I33" s="94"/>
      <c r="J33" s="10"/>
      <c r="K33" s="10"/>
      <c r="L33" s="10"/>
    </row>
    <row r="34" spans="1:12" ht="12.75">
      <c r="A34" s="153" t="s">
        <v>309</v>
      </c>
      <c r="B34" s="154"/>
      <c r="C34" s="154"/>
      <c r="D34" s="155"/>
      <c r="E34" s="153" t="s">
        <v>312</v>
      </c>
      <c r="F34" s="154"/>
      <c r="G34" s="154"/>
      <c r="H34" s="143" t="s">
        <v>313</v>
      </c>
      <c r="I34" s="144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53"/>
      <c r="B36" s="154"/>
      <c r="C36" s="154"/>
      <c r="D36" s="155"/>
      <c r="E36" s="153"/>
      <c r="F36" s="154"/>
      <c r="G36" s="154"/>
      <c r="H36" s="143"/>
      <c r="I36" s="144"/>
      <c r="J36" s="10"/>
      <c r="K36" s="10"/>
      <c r="L36" s="10"/>
    </row>
    <row r="37" spans="1:12" ht="12.75">
      <c r="A37" s="95"/>
      <c r="B37" s="30"/>
      <c r="C37" s="165"/>
      <c r="D37" s="166"/>
      <c r="E37" s="16"/>
      <c r="F37" s="165"/>
      <c r="G37" s="166"/>
      <c r="H37" s="16"/>
      <c r="I37" s="88"/>
      <c r="J37" s="10"/>
      <c r="K37" s="10"/>
      <c r="L37" s="10"/>
    </row>
    <row r="38" spans="1:12" ht="12.75">
      <c r="A38" s="153"/>
      <c r="B38" s="154"/>
      <c r="C38" s="154"/>
      <c r="D38" s="155"/>
      <c r="E38" s="153"/>
      <c r="F38" s="154"/>
      <c r="G38" s="154"/>
      <c r="H38" s="143"/>
      <c r="I38" s="144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3"/>
      <c r="B40" s="154"/>
      <c r="C40" s="154"/>
      <c r="D40" s="155"/>
      <c r="E40" s="153"/>
      <c r="F40" s="154"/>
      <c r="G40" s="154"/>
      <c r="H40" s="143"/>
      <c r="I40" s="144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40" t="s">
        <v>232</v>
      </c>
      <c r="B44" s="174"/>
      <c r="C44" s="143"/>
      <c r="D44" s="144"/>
      <c r="E44" s="26"/>
      <c r="F44" s="126"/>
      <c r="G44" s="154"/>
      <c r="H44" s="154"/>
      <c r="I44" s="155"/>
      <c r="J44" s="10"/>
      <c r="K44" s="10"/>
      <c r="L44" s="10"/>
    </row>
    <row r="45" spans="1:12" ht="12.75">
      <c r="A45" s="95"/>
      <c r="B45" s="30"/>
      <c r="C45" s="165"/>
      <c r="D45" s="166"/>
      <c r="E45" s="16"/>
      <c r="F45" s="165"/>
      <c r="G45" s="167"/>
      <c r="H45" s="35"/>
      <c r="I45" s="99"/>
      <c r="J45" s="10"/>
      <c r="K45" s="10"/>
      <c r="L45" s="10"/>
    </row>
    <row r="46" spans="1:12" ht="12.75">
      <c r="A46" s="140" t="s">
        <v>233</v>
      </c>
      <c r="B46" s="174"/>
      <c r="C46" s="126" t="s">
        <v>298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87"/>
      <c r="B47" s="22"/>
      <c r="C47" s="21" t="s">
        <v>234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0" t="s">
        <v>235</v>
      </c>
      <c r="B48" s="174"/>
      <c r="C48" s="175" t="s">
        <v>299</v>
      </c>
      <c r="D48" s="176"/>
      <c r="E48" s="177"/>
      <c r="F48" s="16"/>
      <c r="G48" s="50" t="s">
        <v>236</v>
      </c>
      <c r="H48" s="175" t="s">
        <v>300</v>
      </c>
      <c r="I48" s="177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0" t="s">
        <v>222</v>
      </c>
      <c r="B50" s="174"/>
      <c r="C50" s="180" t="s">
        <v>301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31" t="s">
        <v>237</v>
      </c>
      <c r="B52" s="132"/>
      <c r="C52" s="175" t="s">
        <v>302</v>
      </c>
      <c r="D52" s="176"/>
      <c r="E52" s="176"/>
      <c r="F52" s="176"/>
      <c r="G52" s="176"/>
      <c r="H52" s="176"/>
      <c r="I52" s="128"/>
      <c r="J52" s="10"/>
      <c r="K52" s="10"/>
      <c r="L52" s="10"/>
    </row>
    <row r="53" spans="1:12" ht="12.75">
      <c r="A53" s="100"/>
      <c r="B53" s="20"/>
      <c r="C53" s="170" t="s">
        <v>238</v>
      </c>
      <c r="D53" s="170"/>
      <c r="E53" s="170"/>
      <c r="F53" s="170"/>
      <c r="G53" s="170"/>
      <c r="H53" s="170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81" t="s">
        <v>239</v>
      </c>
      <c r="C55" s="182"/>
      <c r="D55" s="182"/>
      <c r="E55" s="182"/>
      <c r="F55" s="48"/>
      <c r="G55" s="48"/>
      <c r="H55" s="48"/>
      <c r="I55" s="102"/>
      <c r="J55" s="10"/>
      <c r="K55" s="10"/>
      <c r="L55" s="10"/>
    </row>
    <row r="56" spans="1:12" ht="12.75">
      <c r="A56" s="100"/>
      <c r="B56" s="183" t="s">
        <v>270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0"/>
      <c r="B57" s="183" t="s">
        <v>271</v>
      </c>
      <c r="C57" s="184"/>
      <c r="D57" s="184"/>
      <c r="E57" s="184"/>
      <c r="F57" s="184"/>
      <c r="G57" s="184"/>
      <c r="H57" s="184"/>
      <c r="I57" s="102"/>
      <c r="J57" s="10"/>
      <c r="K57" s="10"/>
      <c r="L57" s="10"/>
    </row>
    <row r="58" spans="1:12" ht="12.75">
      <c r="A58" s="100"/>
      <c r="B58" s="183" t="s">
        <v>272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0"/>
      <c r="B59" s="183" t="s">
        <v>273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240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241</v>
      </c>
      <c r="F62" s="33"/>
      <c r="G62" s="171" t="s">
        <v>242</v>
      </c>
      <c r="H62" s="172"/>
      <c r="I62" s="173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78"/>
      <c r="H63" s="179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I30 A32:D32" name="Range1_1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7" width="9.140625" style="51" customWidth="1"/>
    <col min="8" max="8" width="8.421875" style="51" customWidth="1"/>
    <col min="9" max="9" width="7.421875" style="51" customWidth="1"/>
    <col min="10" max="11" width="10.8515625" style="51" customWidth="1"/>
    <col min="12" max="16384" width="9.140625" style="51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314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39</v>
      </c>
      <c r="B4" s="229"/>
      <c r="C4" s="229"/>
      <c r="D4" s="229"/>
      <c r="E4" s="229"/>
      <c r="F4" s="229"/>
      <c r="G4" s="229"/>
      <c r="H4" s="230"/>
      <c r="I4" s="56" t="s">
        <v>243</v>
      </c>
      <c r="J4" s="57" t="s">
        <v>282</v>
      </c>
      <c r="K4" s="58" t="s">
        <v>283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5">
        <v>2</v>
      </c>
      <c r="J5" s="54">
        <v>3</v>
      </c>
      <c r="K5" s="54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10</v>
      </c>
      <c r="B8" s="203"/>
      <c r="C8" s="203"/>
      <c r="D8" s="203"/>
      <c r="E8" s="203"/>
      <c r="F8" s="203"/>
      <c r="G8" s="203"/>
      <c r="H8" s="204"/>
      <c r="I8" s="1">
        <v>2</v>
      </c>
      <c r="J8" s="120">
        <f>J9+J16+J26+J35+J39</f>
        <v>814812913</v>
      </c>
      <c r="K8" s="120">
        <f>K9+K16+K26+K35+K39</f>
        <v>761842755</v>
      </c>
    </row>
    <row r="9" spans="1:11" ht="12.75">
      <c r="A9" s="199" t="s">
        <v>170</v>
      </c>
      <c r="B9" s="200"/>
      <c r="C9" s="200"/>
      <c r="D9" s="200"/>
      <c r="E9" s="200"/>
      <c r="F9" s="200"/>
      <c r="G9" s="200"/>
      <c r="H9" s="201"/>
      <c r="I9" s="1">
        <v>3</v>
      </c>
      <c r="J9" s="120">
        <f>SUM(J10:J15)</f>
        <v>8063645</v>
      </c>
      <c r="K9" s="120">
        <f>SUM(K10:K15)</f>
        <v>7671130</v>
      </c>
    </row>
    <row r="10" spans="1:11" ht="12.75">
      <c r="A10" s="199" t="s">
        <v>88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11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6621955</v>
      </c>
      <c r="K11" s="7">
        <v>5696483</v>
      </c>
    </row>
    <row r="12" spans="1:11" ht="12.75">
      <c r="A12" s="199" t="s">
        <v>89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173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174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1441690</v>
      </c>
      <c r="K14" s="7">
        <v>1974647</v>
      </c>
    </row>
    <row r="15" spans="1:11" ht="12.75">
      <c r="A15" s="199" t="s">
        <v>175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171</v>
      </c>
      <c r="B16" s="200"/>
      <c r="C16" s="200"/>
      <c r="D16" s="200"/>
      <c r="E16" s="200"/>
      <c r="F16" s="200"/>
      <c r="G16" s="200"/>
      <c r="H16" s="201"/>
      <c r="I16" s="1">
        <v>10</v>
      </c>
      <c r="J16" s="120">
        <f>SUM(J17:J25)</f>
        <v>786485289</v>
      </c>
      <c r="K16" s="120">
        <f>SUM(K17:K25)</f>
        <v>739879901</v>
      </c>
    </row>
    <row r="17" spans="1:11" ht="12.75">
      <c r="A17" s="199" t="s">
        <v>176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49419193</v>
      </c>
      <c r="K17" s="7">
        <v>49411757</v>
      </c>
    </row>
    <row r="18" spans="1:11" ht="12.75">
      <c r="A18" s="199" t="s">
        <v>212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322501078</v>
      </c>
      <c r="K18" s="7">
        <v>305696063</v>
      </c>
    </row>
    <row r="19" spans="1:11" ht="12.75">
      <c r="A19" s="199" t="s">
        <v>177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366707246</v>
      </c>
      <c r="K19" s="7">
        <v>354712044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13732036</v>
      </c>
      <c r="K20" s="7">
        <v>12656327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48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/>
      <c r="K22" s="7">
        <v>3081885</v>
      </c>
    </row>
    <row r="23" spans="1:11" ht="12.75">
      <c r="A23" s="199" t="s">
        <v>49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33653876</v>
      </c>
      <c r="K23" s="7">
        <v>13828060</v>
      </c>
    </row>
    <row r="24" spans="1:11" ht="12.75">
      <c r="A24" s="199" t="s">
        <v>50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471860</v>
      </c>
      <c r="K24" s="7">
        <v>493765</v>
      </c>
    </row>
    <row r="25" spans="1:11" ht="12.75">
      <c r="A25" s="199" t="s">
        <v>51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/>
      <c r="K25" s="7"/>
    </row>
    <row r="26" spans="1:11" ht="12.75">
      <c r="A26" s="199" t="s">
        <v>155</v>
      </c>
      <c r="B26" s="200"/>
      <c r="C26" s="200"/>
      <c r="D26" s="200"/>
      <c r="E26" s="200"/>
      <c r="F26" s="200"/>
      <c r="G26" s="200"/>
      <c r="H26" s="201"/>
      <c r="I26" s="1">
        <v>20</v>
      </c>
      <c r="J26" s="120">
        <f>SUM(J27:J34)</f>
        <v>20263979</v>
      </c>
      <c r="K26" s="120">
        <f>SUM(K27:K34)</f>
        <v>14291724</v>
      </c>
    </row>
    <row r="27" spans="1:11" ht="12.75">
      <c r="A27" s="199" t="s">
        <v>52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/>
      <c r="K27" s="7"/>
    </row>
    <row r="28" spans="1:11" ht="12.75">
      <c r="A28" s="199" t="s">
        <v>53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54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12805351</v>
      </c>
      <c r="K29" s="7">
        <v>10766762</v>
      </c>
    </row>
    <row r="30" spans="1:11" ht="12.75">
      <c r="A30" s="199" t="s">
        <v>59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60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/>
      <c r="K31" s="7"/>
    </row>
    <row r="32" spans="1:11" ht="12.75">
      <c r="A32" s="199" t="s">
        <v>61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3278289</v>
      </c>
      <c r="K32" s="7"/>
    </row>
    <row r="33" spans="1:11" ht="12.75">
      <c r="A33" s="199" t="s">
        <v>55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148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4180339</v>
      </c>
      <c r="K34" s="7">
        <v>3524962</v>
      </c>
    </row>
    <row r="35" spans="1:11" ht="12.75">
      <c r="A35" s="199" t="s">
        <v>149</v>
      </c>
      <c r="B35" s="200"/>
      <c r="C35" s="200"/>
      <c r="D35" s="200"/>
      <c r="E35" s="200"/>
      <c r="F35" s="200"/>
      <c r="G35" s="200"/>
      <c r="H35" s="201"/>
      <c r="I35" s="1">
        <v>29</v>
      </c>
      <c r="J35" s="120">
        <f>SUM(J36:J38)</f>
        <v>0</v>
      </c>
      <c r="K35" s="120">
        <f>SUM(K36:K38)</f>
        <v>0</v>
      </c>
    </row>
    <row r="36" spans="1:11" ht="12.75">
      <c r="A36" s="199" t="s">
        <v>56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57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/>
      <c r="K37" s="7"/>
    </row>
    <row r="38" spans="1:11" ht="12.75">
      <c r="A38" s="199" t="s">
        <v>58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150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205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0">
        <f>J41+J49+J56+J64</f>
        <v>713791048</v>
      </c>
      <c r="K40" s="120">
        <f>K41+K49+K56+K64</f>
        <v>878243235</v>
      </c>
    </row>
    <row r="41" spans="1:11" ht="12.75">
      <c r="A41" s="199" t="s">
        <v>76</v>
      </c>
      <c r="B41" s="200"/>
      <c r="C41" s="200"/>
      <c r="D41" s="200"/>
      <c r="E41" s="200"/>
      <c r="F41" s="200"/>
      <c r="G41" s="200"/>
      <c r="H41" s="201"/>
      <c r="I41" s="1">
        <v>35</v>
      </c>
      <c r="J41" s="120">
        <f>SUM(J42:J48)</f>
        <v>478883337</v>
      </c>
      <c r="K41" s="120">
        <f>SUM(K42:K48)</f>
        <v>653884464</v>
      </c>
    </row>
    <row r="42" spans="1:11" ht="12.75">
      <c r="A42" s="199" t="s">
        <v>91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226983987</v>
      </c>
      <c r="K42" s="7">
        <v>307619209</v>
      </c>
    </row>
    <row r="43" spans="1:11" ht="12.75">
      <c r="A43" s="199" t="s">
        <v>92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23553044</v>
      </c>
      <c r="K43" s="7">
        <v>41135157</v>
      </c>
    </row>
    <row r="44" spans="1:11" ht="12.75">
      <c r="A44" s="199" t="s">
        <v>62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219745765</v>
      </c>
      <c r="K44" s="7">
        <v>300391370</v>
      </c>
    </row>
    <row r="45" spans="1:11" ht="12.75">
      <c r="A45" s="199" t="s">
        <v>63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3849354</v>
      </c>
      <c r="K45" s="7">
        <v>4302489</v>
      </c>
    </row>
    <row r="46" spans="1:11" ht="12.75">
      <c r="A46" s="199" t="s">
        <v>64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4751187</v>
      </c>
      <c r="K46" s="7">
        <v>436239</v>
      </c>
    </row>
    <row r="47" spans="1:11" ht="12.75">
      <c r="A47" s="199" t="s">
        <v>65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66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77</v>
      </c>
      <c r="B49" s="200"/>
      <c r="C49" s="200"/>
      <c r="D49" s="200"/>
      <c r="E49" s="200"/>
      <c r="F49" s="200"/>
      <c r="G49" s="200"/>
      <c r="H49" s="201"/>
      <c r="I49" s="1">
        <v>43</v>
      </c>
      <c r="J49" s="120">
        <f>SUM(J50:J55)</f>
        <v>205564624</v>
      </c>
      <c r="K49" s="120">
        <f>SUM(K50:K55)</f>
        <v>191226074</v>
      </c>
    </row>
    <row r="50" spans="1:11" ht="12.75">
      <c r="A50" s="199" t="s">
        <v>165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/>
      <c r="K50" s="7"/>
    </row>
    <row r="51" spans="1:11" ht="12.75">
      <c r="A51" s="199" t="s">
        <v>166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87514440</v>
      </c>
      <c r="K51" s="7">
        <v>147738558</v>
      </c>
    </row>
    <row r="52" spans="1:11" ht="12.75">
      <c r="A52" s="199" t="s">
        <v>167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168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26313</v>
      </c>
      <c r="K53" s="7">
        <v>21446</v>
      </c>
    </row>
    <row r="54" spans="1:11" ht="12.75">
      <c r="A54" s="199" t="s">
        <v>7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117364540</v>
      </c>
      <c r="K54" s="7">
        <v>40129810</v>
      </c>
    </row>
    <row r="55" spans="1:11" ht="12.75">
      <c r="A55" s="199" t="s">
        <v>8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659331</v>
      </c>
      <c r="K55" s="7">
        <v>3336260</v>
      </c>
    </row>
    <row r="56" spans="1:11" ht="12.75">
      <c r="A56" s="199" t="s">
        <v>78</v>
      </c>
      <c r="B56" s="200"/>
      <c r="C56" s="200"/>
      <c r="D56" s="200"/>
      <c r="E56" s="200"/>
      <c r="F56" s="200"/>
      <c r="G56" s="200"/>
      <c r="H56" s="201"/>
      <c r="I56" s="1">
        <v>50</v>
      </c>
      <c r="J56" s="120">
        <f>SUM(J57:J63)</f>
        <v>3548085</v>
      </c>
      <c r="K56" s="120">
        <f>SUM(K57:K63)</f>
        <v>20211233</v>
      </c>
    </row>
    <row r="57" spans="1:11" ht="12.75">
      <c r="A57" s="199" t="s">
        <v>52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53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/>
      <c r="K58" s="7"/>
    </row>
    <row r="59" spans="1:11" ht="12.75">
      <c r="A59" s="199" t="s">
        <v>207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59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60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3548085</v>
      </c>
      <c r="K61" s="7">
        <v>5150393</v>
      </c>
    </row>
    <row r="62" spans="1:11" ht="12.75">
      <c r="A62" s="199" t="s">
        <v>61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/>
      <c r="K62" s="7">
        <v>15060840</v>
      </c>
    </row>
    <row r="63" spans="1:11" ht="12.75">
      <c r="A63" s="199" t="s">
        <v>31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172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25795002</v>
      </c>
      <c r="K64" s="7">
        <v>12921464</v>
      </c>
    </row>
    <row r="65" spans="1:11" ht="12.75">
      <c r="A65" s="202" t="s">
        <v>36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1">
        <v>1773159</v>
      </c>
      <c r="K65" s="121">
        <v>2734013</v>
      </c>
    </row>
    <row r="66" spans="1:11" ht="12.75">
      <c r="A66" s="202" t="s">
        <v>206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0">
        <f>J7+J8+J40+J65</f>
        <v>1530377120</v>
      </c>
      <c r="K66" s="120">
        <f>K7+K8+K40+K65</f>
        <v>1642820003</v>
      </c>
    </row>
    <row r="67" spans="1:11" ht="12.75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141203382</v>
      </c>
      <c r="K67" s="8">
        <v>186462200</v>
      </c>
    </row>
    <row r="68" spans="1:11" ht="12.75">
      <c r="A68" s="191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156</v>
      </c>
      <c r="B69" s="196"/>
      <c r="C69" s="196"/>
      <c r="D69" s="196"/>
      <c r="E69" s="196"/>
      <c r="F69" s="196"/>
      <c r="G69" s="196"/>
      <c r="H69" s="213"/>
      <c r="I69" s="3">
        <v>62</v>
      </c>
      <c r="J69" s="122">
        <f>J70+J71+J72+J78+J79+J82+J85</f>
        <v>657012802</v>
      </c>
      <c r="K69" s="122">
        <f>K70+K71+K72+K78+K79+K82+K85</f>
        <v>763876691</v>
      </c>
    </row>
    <row r="70" spans="1:11" ht="12.75">
      <c r="A70" s="199" t="s">
        <v>115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902101590</v>
      </c>
      <c r="K70" s="7">
        <v>902101590</v>
      </c>
    </row>
    <row r="71" spans="1:11" ht="12.75">
      <c r="A71" s="199" t="s">
        <v>116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/>
      <c r="K71" s="7"/>
    </row>
    <row r="72" spans="1:11" ht="12.75">
      <c r="A72" s="199" t="s">
        <v>117</v>
      </c>
      <c r="B72" s="200"/>
      <c r="C72" s="200"/>
      <c r="D72" s="200"/>
      <c r="E72" s="200"/>
      <c r="F72" s="200"/>
      <c r="G72" s="200"/>
      <c r="H72" s="201"/>
      <c r="I72" s="1">
        <v>65</v>
      </c>
      <c r="J72" s="120">
        <f>J73+J74-J75+J76+J77</f>
        <v>0</v>
      </c>
      <c r="K72" s="120">
        <f>K73+K74-K75+K76+K77</f>
        <v>0</v>
      </c>
    </row>
    <row r="73" spans="1:11" ht="12.75">
      <c r="A73" s="199" t="s">
        <v>118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/>
      <c r="K73" s="7"/>
    </row>
    <row r="74" spans="1:11" ht="12.75">
      <c r="A74" s="199" t="s">
        <v>119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107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108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109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/>
      <c r="K77" s="7"/>
    </row>
    <row r="78" spans="1:11" ht="12.75">
      <c r="A78" s="199" t="s">
        <v>110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/>
      <c r="K78" s="7"/>
    </row>
    <row r="79" spans="1:11" ht="12.75">
      <c r="A79" s="199" t="s">
        <v>203</v>
      </c>
      <c r="B79" s="200"/>
      <c r="C79" s="200"/>
      <c r="D79" s="200"/>
      <c r="E79" s="200"/>
      <c r="F79" s="200"/>
      <c r="G79" s="200"/>
      <c r="H79" s="201"/>
      <c r="I79" s="1">
        <v>72</v>
      </c>
      <c r="J79" s="120">
        <f>J80-J81</f>
        <v>-108982828</v>
      </c>
      <c r="K79" s="120">
        <f>K80-K81</f>
        <v>-244715097</v>
      </c>
    </row>
    <row r="80" spans="1:11" ht="12.75">
      <c r="A80" s="210" t="s">
        <v>139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140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108982828</v>
      </c>
      <c r="K81" s="7">
        <v>244715097</v>
      </c>
    </row>
    <row r="82" spans="1:11" ht="12.75">
      <c r="A82" s="199" t="s">
        <v>204</v>
      </c>
      <c r="B82" s="200"/>
      <c r="C82" s="200"/>
      <c r="D82" s="200"/>
      <c r="E82" s="200"/>
      <c r="F82" s="200"/>
      <c r="G82" s="200"/>
      <c r="H82" s="201"/>
      <c r="I82" s="1">
        <v>75</v>
      </c>
      <c r="J82" s="120">
        <f>J83-J84</f>
        <v>-136105960</v>
      </c>
      <c r="K82" s="120">
        <f>K83-K84</f>
        <v>106490198</v>
      </c>
    </row>
    <row r="83" spans="1:11" ht="12.75">
      <c r="A83" s="210" t="s">
        <v>141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>
        <v>106490198</v>
      </c>
    </row>
    <row r="84" spans="1:11" ht="12.75">
      <c r="A84" s="210" t="s">
        <v>142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136105960</v>
      </c>
      <c r="K84" s="7"/>
    </row>
    <row r="85" spans="1:11" ht="12.75">
      <c r="A85" s="199" t="s">
        <v>143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0">
        <f>SUM(J87:J89)</f>
        <v>14532303</v>
      </c>
      <c r="K86" s="120">
        <f>SUM(K87:K89)</f>
        <v>14197080</v>
      </c>
    </row>
    <row r="87" spans="1:11" ht="12.75">
      <c r="A87" s="199" t="s">
        <v>103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12282303</v>
      </c>
      <c r="K87" s="7">
        <v>12112252</v>
      </c>
    </row>
    <row r="88" spans="1:11" ht="12.75">
      <c r="A88" s="199" t="s">
        <v>104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105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2250000</v>
      </c>
      <c r="K89" s="7">
        <v>2084828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0">
        <f>SUM(J91:J99)</f>
        <v>62222222</v>
      </c>
      <c r="K90" s="120">
        <f>SUM(K91:K99)</f>
        <v>80000000</v>
      </c>
    </row>
    <row r="91" spans="1:11" ht="12.75">
      <c r="A91" s="199" t="s">
        <v>106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208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/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62222222</v>
      </c>
      <c r="K93" s="7">
        <v>80000000</v>
      </c>
    </row>
    <row r="94" spans="1:11" ht="12.75">
      <c r="A94" s="199" t="s">
        <v>209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210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211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70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68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 ht="12.75">
      <c r="A99" s="199" t="s">
        <v>69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0">
        <f>SUM(J101:J112)</f>
        <v>793175607</v>
      </c>
      <c r="K100" s="120">
        <f>SUM(K101:K112)</f>
        <v>781282962</v>
      </c>
    </row>
    <row r="101" spans="1:11" ht="12.75">
      <c r="A101" s="199" t="s">
        <v>106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/>
      <c r="K101" s="7"/>
    </row>
    <row r="102" spans="1:11" ht="12.75">
      <c r="A102" s="199" t="s">
        <v>208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44000000</v>
      </c>
      <c r="K102" s="7">
        <v>12000000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310017961</v>
      </c>
      <c r="K103" s="7">
        <v>295722222</v>
      </c>
    </row>
    <row r="104" spans="1:11" ht="12.75">
      <c r="A104" s="199" t="s">
        <v>209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56326281</v>
      </c>
      <c r="K104" s="7">
        <v>25990680</v>
      </c>
    </row>
    <row r="105" spans="1:11" ht="12.75">
      <c r="A105" s="199" t="s">
        <v>210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335739131</v>
      </c>
      <c r="K105" s="7">
        <v>331944083</v>
      </c>
    </row>
    <row r="106" spans="1:11" ht="12.75">
      <c r="A106" s="199" t="s">
        <v>211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22125296</v>
      </c>
      <c r="K106" s="7">
        <v>81176464</v>
      </c>
    </row>
    <row r="107" spans="1:11" ht="12.75">
      <c r="A107" s="199" t="s">
        <v>70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71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13360399</v>
      </c>
      <c r="K108" s="7">
        <v>13650046</v>
      </c>
    </row>
    <row r="109" spans="1:11" ht="12.75">
      <c r="A109" s="199" t="s">
        <v>72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8410705</v>
      </c>
      <c r="K109" s="7">
        <v>9966521</v>
      </c>
    </row>
    <row r="110" spans="1:11" ht="12.75">
      <c r="A110" s="199" t="s">
        <v>75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73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74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3195834</v>
      </c>
      <c r="K112" s="7">
        <v>10832946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1">
        <v>3434186</v>
      </c>
      <c r="K113" s="121">
        <v>3463270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0">
        <f>J69+J86+J90+J100+J113</f>
        <v>1530377120</v>
      </c>
      <c r="K114" s="120">
        <f>K69+K86+K90+K100+K113</f>
        <v>1642820003</v>
      </c>
    </row>
    <row r="115" spans="1:11" ht="12.75">
      <c r="A115" s="188" t="s">
        <v>37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141203382</v>
      </c>
      <c r="K115" s="8">
        <v>186462200</v>
      </c>
    </row>
    <row r="116" spans="1:11" ht="12.75">
      <c r="A116" s="191" t="s">
        <v>274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151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5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657012802</v>
      </c>
      <c r="K118" s="7">
        <v>763876691</v>
      </c>
    </row>
    <row r="119" spans="1:11" ht="12.75">
      <c r="A119" s="205" t="s">
        <v>6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1.03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6.8515625" style="51" customWidth="1"/>
    <col min="10" max="13" width="11.28125" style="51" customWidth="1"/>
    <col min="14" max="16384" width="9.140625" style="51" customWidth="1"/>
  </cols>
  <sheetData>
    <row r="1" spans="1:13" ht="12.7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8" t="s">
        <v>315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39</v>
      </c>
      <c r="B4" s="249"/>
      <c r="C4" s="249"/>
      <c r="D4" s="249"/>
      <c r="E4" s="249"/>
      <c r="F4" s="249"/>
      <c r="G4" s="249"/>
      <c r="H4" s="249"/>
      <c r="I4" s="56" t="s">
        <v>244</v>
      </c>
      <c r="J4" s="250" t="s">
        <v>282</v>
      </c>
      <c r="K4" s="250"/>
      <c r="L4" s="250" t="s">
        <v>283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6"/>
      <c r="J5" s="58" t="s">
        <v>278</v>
      </c>
      <c r="K5" s="58" t="s">
        <v>279</v>
      </c>
      <c r="L5" s="58" t="s">
        <v>278</v>
      </c>
      <c r="M5" s="58" t="s">
        <v>279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0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122">
        <f>SUM(J8:J9)</f>
        <v>2266949824</v>
      </c>
      <c r="K7" s="122">
        <f>SUM(K8:K9)</f>
        <v>756837420</v>
      </c>
      <c r="L7" s="122">
        <f>SUM(L8:L9)</f>
        <v>2948347687</v>
      </c>
      <c r="M7" s="122">
        <f>SUM(M8:M9)</f>
        <v>709619375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2225563941</v>
      </c>
      <c r="K8" s="7">
        <f>J8-1489085260</f>
        <v>736478681</v>
      </c>
      <c r="L8" s="7">
        <v>2900859466</v>
      </c>
      <c r="M8" s="7">
        <f>L8-2212757828</f>
        <v>688101638</v>
      </c>
    </row>
    <row r="9" spans="1:13" ht="12.75">
      <c r="A9" s="202" t="s">
        <v>79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41385883</v>
      </c>
      <c r="K9" s="7">
        <f>J9-21027144</f>
        <v>20358739</v>
      </c>
      <c r="L9" s="7">
        <v>47488221</v>
      </c>
      <c r="M9" s="7">
        <f>L9-25970484</f>
        <v>21517737</v>
      </c>
    </row>
    <row r="10" spans="1:13" ht="12.75">
      <c r="A10" s="202" t="s">
        <v>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0">
        <f>J11+J12+J16+J20+J21+J22+J25+J26</f>
        <v>2368814136</v>
      </c>
      <c r="K10" s="120">
        <f>K11+K12+K16+K20+K21+K22+K25+K26</f>
        <v>755936661</v>
      </c>
      <c r="L10" s="120">
        <f>L11+L12+L16+L20+L21+L22+L25+L26</f>
        <v>2810415652</v>
      </c>
      <c r="M10" s="120">
        <f>M11+M12+M16+M20+M21+M22+M25+M26</f>
        <v>709923052</v>
      </c>
    </row>
    <row r="11" spans="1:13" ht="12.75">
      <c r="A11" s="202" t="s">
        <v>80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-36074972</v>
      </c>
      <c r="K11" s="7">
        <f>J11-(-17145700)</f>
        <v>-18929272</v>
      </c>
      <c r="L11" s="7">
        <v>-99921361</v>
      </c>
      <c r="M11" s="7">
        <f>L11-(-40463499)</f>
        <v>-59457862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0">
        <f>SUM(J13:J15)</f>
        <v>1977808038</v>
      </c>
      <c r="K12" s="120">
        <f>SUM(K13:K15)</f>
        <v>645361417</v>
      </c>
      <c r="L12" s="120">
        <f>SUM(L13:L15)</f>
        <v>2485225745</v>
      </c>
      <c r="M12" s="120">
        <f>SUM(M13:M15)</f>
        <v>671326626</v>
      </c>
    </row>
    <row r="13" spans="1:13" ht="12.75">
      <c r="A13" s="199" t="s">
        <v>120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1859221521</v>
      </c>
      <c r="K13" s="7">
        <f>J13-1250119705</f>
        <v>609101816</v>
      </c>
      <c r="L13" s="7">
        <v>2359479402</v>
      </c>
      <c r="M13" s="7">
        <f>L13-1720998379</f>
        <v>638481023</v>
      </c>
    </row>
    <row r="14" spans="1:13" ht="12.75">
      <c r="A14" s="199" t="s">
        <v>121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20215148</v>
      </c>
      <c r="K14" s="7">
        <f>J14-16940967</f>
        <v>3274181</v>
      </c>
      <c r="L14" s="7">
        <v>9355617</v>
      </c>
      <c r="M14" s="7">
        <f>L14-6570796</f>
        <v>2784821</v>
      </c>
    </row>
    <row r="15" spans="1:13" ht="12.75">
      <c r="A15" s="199" t="s">
        <v>41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98371369</v>
      </c>
      <c r="K15" s="7">
        <f>J15-65385949</f>
        <v>32985420</v>
      </c>
      <c r="L15" s="7">
        <v>116390726</v>
      </c>
      <c r="M15" s="7">
        <f>L15-86329944</f>
        <v>30060782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0">
        <f>SUM(J17:J19)</f>
        <v>217364055</v>
      </c>
      <c r="K16" s="120">
        <f>SUM(K17:K19)</f>
        <v>55809921</v>
      </c>
      <c r="L16" s="120">
        <f>SUM(L17:L19)</f>
        <v>234317600</v>
      </c>
      <c r="M16" s="120">
        <f>SUM(M17:M19)</f>
        <v>60231496</v>
      </c>
    </row>
    <row r="17" spans="1:13" ht="12.75">
      <c r="A17" s="199" t="s">
        <v>42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136891390</v>
      </c>
      <c r="K17" s="7">
        <f>J17-101574518</f>
        <v>35316872</v>
      </c>
      <c r="L17" s="7">
        <v>146963099</v>
      </c>
      <c r="M17" s="7">
        <f>L17-109198116</f>
        <v>37764983</v>
      </c>
    </row>
    <row r="18" spans="1:13" ht="12.75">
      <c r="A18" s="199" t="s">
        <v>43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48635517</v>
      </c>
      <c r="K18" s="7">
        <f>J18-36317499</f>
        <v>12318018</v>
      </c>
      <c r="L18" s="7">
        <v>53029909</v>
      </c>
      <c r="M18" s="7">
        <f>L18-39377234</f>
        <v>13652675</v>
      </c>
    </row>
    <row r="19" spans="1:13" ht="12.75">
      <c r="A19" s="199" t="s">
        <v>44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31837148</v>
      </c>
      <c r="K19" s="7">
        <f>J19-23662117</f>
        <v>8175031</v>
      </c>
      <c r="L19" s="7">
        <v>34324592</v>
      </c>
      <c r="M19" s="7">
        <f>L19-25510754</f>
        <v>8813838</v>
      </c>
    </row>
    <row r="20" spans="1:13" ht="12.75">
      <c r="A20" s="202" t="s">
        <v>81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21">
        <v>99480259</v>
      </c>
      <c r="K20" s="121">
        <f>J20-76410604</f>
        <v>23069655</v>
      </c>
      <c r="L20" s="121">
        <v>94189092</v>
      </c>
      <c r="M20" s="121">
        <f>L20-73613740</f>
        <v>20575352</v>
      </c>
    </row>
    <row r="21" spans="1:13" ht="12.75">
      <c r="A21" s="202" t="s">
        <v>82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21">
        <v>84612605</v>
      </c>
      <c r="K21" s="121">
        <f>J21-58386680</f>
        <v>26225925</v>
      </c>
      <c r="L21" s="121">
        <v>87132072</v>
      </c>
      <c r="M21" s="121">
        <f>L21-61654128</f>
        <v>25477944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20">
        <f>SUM(J23:J24)</f>
        <v>9907662</v>
      </c>
      <c r="K22" s="120">
        <f>SUM(K23:K24)</f>
        <v>8682526</v>
      </c>
      <c r="L22" s="120">
        <f>SUM(L23:L24)</f>
        <v>4975285</v>
      </c>
      <c r="M22" s="120">
        <f>SUM(M23:M24)</f>
        <v>4612277</v>
      </c>
    </row>
    <row r="23" spans="1:13" ht="12.75">
      <c r="A23" s="199" t="s">
        <v>111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35324</v>
      </c>
      <c r="K23" s="7">
        <f>J23-28689</f>
        <v>6635</v>
      </c>
      <c r="L23" s="7">
        <v>108297</v>
      </c>
      <c r="M23" s="7">
        <f>L23-23659</f>
        <v>84638</v>
      </c>
    </row>
    <row r="24" spans="1:13" ht="12.75">
      <c r="A24" s="199" t="s">
        <v>112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9872338</v>
      </c>
      <c r="K24" s="7">
        <f>J24-1196447</f>
        <v>8675891</v>
      </c>
      <c r="L24" s="7">
        <v>4866988</v>
      </c>
      <c r="M24" s="7">
        <f>L24-339349</f>
        <v>4527639</v>
      </c>
    </row>
    <row r="25" spans="1:13" ht="12.75">
      <c r="A25" s="202" t="s">
        <v>83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21">
        <v>15716489</v>
      </c>
      <c r="K25" s="121">
        <v>15716489</v>
      </c>
      <c r="L25" s="121">
        <v>4497219</v>
      </c>
      <c r="M25" s="121">
        <f>L25-17340000</f>
        <v>-12842781</v>
      </c>
    </row>
    <row r="26" spans="1:13" ht="12.75">
      <c r="A26" s="202" t="s">
        <v>35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21">
        <v>0</v>
      </c>
      <c r="K26" s="121">
        <v>0</v>
      </c>
      <c r="L26" s="121">
        <v>0</v>
      </c>
      <c r="M26" s="121">
        <v>0</v>
      </c>
    </row>
    <row r="27" spans="1:13" ht="12.75">
      <c r="A27" s="202" t="s">
        <v>178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0">
        <f>SUM(J28:J32)</f>
        <v>26719580</v>
      </c>
      <c r="K27" s="120">
        <f>SUM(K28:K32)</f>
        <v>-3509990</v>
      </c>
      <c r="L27" s="120">
        <f>SUM(L28:L32)</f>
        <v>24614144</v>
      </c>
      <c r="M27" s="120">
        <f>SUM(M28:M32)</f>
        <v>5084405</v>
      </c>
    </row>
    <row r="28" spans="1:13" ht="24" customHeight="1">
      <c r="A28" s="202" t="s">
        <v>192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/>
      <c r="K28" s="7"/>
      <c r="L28" s="7"/>
      <c r="M28" s="7"/>
    </row>
    <row r="29" spans="1:13" ht="24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26719580</v>
      </c>
      <c r="K29" s="7">
        <f>J29-29484126</f>
        <v>-2764546</v>
      </c>
      <c r="L29" s="7">
        <v>24614144</v>
      </c>
      <c r="M29" s="7">
        <f>L29-19529739</f>
        <v>5084405</v>
      </c>
    </row>
    <row r="30" spans="1:13" ht="18" customHeight="1">
      <c r="A30" s="202" t="s">
        <v>113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6.5" customHeight="1">
      <c r="A31" s="202" t="s">
        <v>188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>
        <v>-745444</v>
      </c>
      <c r="L31" s="7"/>
      <c r="M31" s="7"/>
    </row>
    <row r="32" spans="1:13" ht="17.25" customHeight="1">
      <c r="A32" s="202" t="s">
        <v>114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7.25" customHeight="1">
      <c r="A33" s="202" t="s">
        <v>179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0">
        <f>SUM(J34:J37)</f>
        <v>61720187</v>
      </c>
      <c r="K33" s="120">
        <f>SUM(K34:K37)</f>
        <v>7714019</v>
      </c>
      <c r="L33" s="120">
        <f>SUM(L34:L37)</f>
        <v>56077995</v>
      </c>
      <c r="M33" s="120">
        <f>SUM(M34:M37)</f>
        <v>13054935</v>
      </c>
    </row>
    <row r="34" spans="1:13" ht="18.75" customHeight="1">
      <c r="A34" s="202" t="s">
        <v>46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/>
      <c r="K34" s="7"/>
      <c r="L34" s="7"/>
      <c r="M34" s="7"/>
    </row>
    <row r="35" spans="1:13" ht="24.75" customHeight="1">
      <c r="A35" s="202" t="s">
        <v>45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61674885</v>
      </c>
      <c r="K35" s="7">
        <f>J35-51313417</f>
        <v>10361468</v>
      </c>
      <c r="L35" s="7">
        <v>54039405</v>
      </c>
      <c r="M35" s="7">
        <f>L35-43023060</f>
        <v>11016345</v>
      </c>
    </row>
    <row r="36" spans="1:13" ht="17.25" customHeight="1">
      <c r="A36" s="202" t="s">
        <v>189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45302</v>
      </c>
      <c r="K36" s="7">
        <f>J36-2692751</f>
        <v>-2647449</v>
      </c>
      <c r="L36" s="7">
        <v>2038590</v>
      </c>
      <c r="M36" s="7">
        <v>2038590</v>
      </c>
    </row>
    <row r="37" spans="1:13" ht="18" customHeight="1">
      <c r="A37" s="202" t="s">
        <v>47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/>
      <c r="M37" s="7"/>
    </row>
    <row r="38" spans="1:13" ht="12.75">
      <c r="A38" s="202" t="s">
        <v>160</v>
      </c>
      <c r="B38" s="203"/>
      <c r="C38" s="203"/>
      <c r="D38" s="203"/>
      <c r="E38" s="203"/>
      <c r="F38" s="203"/>
      <c r="G38" s="203"/>
      <c r="H38" s="204"/>
      <c r="I38" s="1">
        <v>142</v>
      </c>
      <c r="J38" s="121">
        <v>942790</v>
      </c>
      <c r="K38" s="121">
        <v>942790</v>
      </c>
      <c r="L38" s="121">
        <v>80474</v>
      </c>
      <c r="M38" s="121">
        <v>80474</v>
      </c>
    </row>
    <row r="39" spans="1:13" ht="12.75">
      <c r="A39" s="202" t="s">
        <v>161</v>
      </c>
      <c r="B39" s="203"/>
      <c r="C39" s="203"/>
      <c r="D39" s="203"/>
      <c r="E39" s="203"/>
      <c r="F39" s="203"/>
      <c r="G39" s="203"/>
      <c r="H39" s="204"/>
      <c r="I39" s="1">
        <v>143</v>
      </c>
      <c r="J39" s="121"/>
      <c r="K39" s="121"/>
      <c r="L39" s="121"/>
      <c r="M39" s="121"/>
    </row>
    <row r="40" spans="1:13" ht="12.75">
      <c r="A40" s="202" t="s">
        <v>190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191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180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20">
        <f>J7+J27+J38+J40</f>
        <v>2294612194</v>
      </c>
      <c r="K42" s="120">
        <f>K7+K27+K38+K40</f>
        <v>754270220</v>
      </c>
      <c r="L42" s="120">
        <f>L7+L27+L38+L40</f>
        <v>2973042305</v>
      </c>
      <c r="M42" s="120">
        <f>M7+M27+M38+M40</f>
        <v>714784254</v>
      </c>
    </row>
    <row r="43" spans="1:13" ht="12.75">
      <c r="A43" s="202" t="s">
        <v>181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20">
        <f>J10+J33+J39+J41</f>
        <v>2430534323</v>
      </c>
      <c r="K43" s="120">
        <f>K10+K33+K39+K41</f>
        <v>763650680</v>
      </c>
      <c r="L43" s="120">
        <f>L10+L33+L39+L41</f>
        <v>2866493647</v>
      </c>
      <c r="M43" s="120">
        <f>M10+M33+M39+M41</f>
        <v>722977987</v>
      </c>
    </row>
    <row r="44" spans="1:13" ht="12.75">
      <c r="A44" s="202" t="s">
        <v>201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2">
        <f>J42-J43</f>
        <v>-135922129</v>
      </c>
      <c r="K44" s="52">
        <f>K42-K43</f>
        <v>-9380460</v>
      </c>
      <c r="L44" s="52">
        <f>L42-L43</f>
        <v>106548658</v>
      </c>
      <c r="M44" s="52">
        <f>M42-M43</f>
        <v>-8193733</v>
      </c>
    </row>
    <row r="45" spans="1:13" ht="12.75">
      <c r="A45" s="210" t="s">
        <v>183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106548658</v>
      </c>
      <c r="M45" s="52">
        <f>IF(M42&gt;M43,M42-M43,0)</f>
        <v>0</v>
      </c>
    </row>
    <row r="46" spans="1:13" ht="12.75">
      <c r="A46" s="210" t="s">
        <v>184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2">
        <f>IF(J43&gt;J42,J43-J42,0)</f>
        <v>135922129</v>
      </c>
      <c r="K46" s="52">
        <f>IF(K43&gt;K42,K43-K42,0)</f>
        <v>9380460</v>
      </c>
      <c r="L46" s="52">
        <f>IF(L43&gt;L42,L43-L42,0)</f>
        <v>0</v>
      </c>
      <c r="M46" s="52">
        <f>IF(M43&gt;M42,M43-M42,0)</f>
        <v>8193733</v>
      </c>
    </row>
    <row r="47" spans="1:13" ht="12.75">
      <c r="A47" s="202" t="s">
        <v>182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183831</v>
      </c>
      <c r="K47" s="7">
        <v>166570</v>
      </c>
      <c r="L47" s="7">
        <v>58459</v>
      </c>
      <c r="M47" s="7">
        <f>L47-23188</f>
        <v>35271</v>
      </c>
    </row>
    <row r="48" spans="1:13" ht="12.75">
      <c r="A48" s="202" t="s">
        <v>202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20">
        <f>J44-J47</f>
        <v>-136105960</v>
      </c>
      <c r="K48" s="120">
        <f>K44-K47</f>
        <v>-9547030</v>
      </c>
      <c r="L48" s="120">
        <f>L44-L47</f>
        <v>106490199</v>
      </c>
      <c r="M48" s="120">
        <f>M44-M47</f>
        <v>-8229004</v>
      </c>
    </row>
    <row r="49" spans="1:13" ht="12.75">
      <c r="A49" s="210" t="s">
        <v>157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106490199</v>
      </c>
      <c r="M49" s="52">
        <f>IF(M48&gt;0,M48,0)</f>
        <v>0</v>
      </c>
    </row>
    <row r="50" spans="1:13" ht="12.75">
      <c r="A50" s="245" t="s">
        <v>185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9">
        <f>IF(J48&lt;0,-J48,0)</f>
        <v>136105960</v>
      </c>
      <c r="K50" s="59">
        <f>IF(K48&lt;0,-K48,0)</f>
        <v>9547030</v>
      </c>
      <c r="L50" s="59">
        <f>IF(L48&lt;0,-L48,0)</f>
        <v>0</v>
      </c>
      <c r="M50" s="59">
        <f>IF(M48&lt;0,-M48,0)</f>
        <v>8229004</v>
      </c>
    </row>
    <row r="51" spans="1:13" ht="12.75" customHeight="1">
      <c r="A51" s="191" t="s">
        <v>276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44"/>
    </row>
    <row r="52" spans="1:13" ht="12.75" customHeight="1">
      <c r="A52" s="195" t="s">
        <v>152</v>
      </c>
      <c r="B52" s="196"/>
      <c r="C52" s="196"/>
      <c r="D52" s="196"/>
      <c r="E52" s="196"/>
      <c r="F52" s="196"/>
      <c r="G52" s="196"/>
      <c r="H52" s="196"/>
      <c r="I52" s="53"/>
      <c r="J52" s="53"/>
      <c r="K52" s="53"/>
      <c r="L52" s="53"/>
      <c r="M52" s="125"/>
    </row>
    <row r="53" spans="1:13" ht="12.75">
      <c r="A53" s="241" t="s">
        <v>199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-136105960</v>
      </c>
      <c r="K53" s="7">
        <v>-9547030</v>
      </c>
      <c r="L53" s="7">
        <v>106490199</v>
      </c>
      <c r="M53" s="7">
        <v>-8229004</v>
      </c>
    </row>
    <row r="54" spans="1:13" ht="12.75">
      <c r="A54" s="241" t="s">
        <v>200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1" t="s">
        <v>154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244"/>
    </row>
    <row r="56" spans="1:13" ht="12.75">
      <c r="A56" s="195" t="s">
        <v>169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f>J48</f>
        <v>-136105960</v>
      </c>
      <c r="K56" s="6">
        <f>K48</f>
        <v>-9547030</v>
      </c>
      <c r="L56" s="6">
        <f>L48</f>
        <v>106490199</v>
      </c>
      <c r="M56" s="6">
        <f>M48</f>
        <v>-8229004</v>
      </c>
    </row>
    <row r="57" spans="1:13" ht="12.75">
      <c r="A57" s="202" t="s">
        <v>186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21" customHeight="1">
      <c r="A58" s="202" t="s">
        <v>193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24" customHeight="1">
      <c r="A59" s="202" t="s">
        <v>194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24" customHeight="1">
      <c r="A60" s="202" t="s">
        <v>30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21" customHeight="1">
      <c r="A61" s="202" t="s">
        <v>195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7.25" customHeight="1">
      <c r="A62" s="202" t="s">
        <v>196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9.5" customHeight="1">
      <c r="A63" s="202" t="s">
        <v>197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9.5" customHeight="1">
      <c r="A64" s="202" t="s">
        <v>198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20.25" customHeight="1">
      <c r="A65" s="202" t="s">
        <v>187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24" customHeight="1">
      <c r="A66" s="202" t="s">
        <v>158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21" customHeight="1">
      <c r="A67" s="202" t="s">
        <v>159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9">
        <f>J56+J66</f>
        <v>-136105960</v>
      </c>
      <c r="K67" s="59">
        <f>K56+K66</f>
        <v>-9547030</v>
      </c>
      <c r="L67" s="59">
        <f>L56+L66</f>
        <v>106490199</v>
      </c>
      <c r="M67" s="59">
        <f>M56+M66</f>
        <v>-8229004</v>
      </c>
    </row>
    <row r="68" spans="1:13" ht="17.25" customHeight="1">
      <c r="A68" s="235" t="s">
        <v>277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5.75" customHeight="1">
      <c r="A69" s="238" t="s">
        <v>153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ht="12.75">
      <c r="A70" s="241" t="s">
        <v>199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f>J67</f>
        <v>-136105960</v>
      </c>
      <c r="K70" s="7">
        <v>-9547030</v>
      </c>
      <c r="L70" s="7">
        <f>L67</f>
        <v>106490199</v>
      </c>
      <c r="M70" s="7">
        <v>-8229004</v>
      </c>
    </row>
    <row r="71" spans="1:13" ht="12.75">
      <c r="A71" s="232" t="s">
        <v>200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24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5" width="9.140625" style="51" customWidth="1"/>
    <col min="6" max="6" width="7.421875" style="51" customWidth="1"/>
    <col min="7" max="7" width="7.57421875" style="51" customWidth="1"/>
    <col min="8" max="8" width="3.28125" style="51" customWidth="1"/>
    <col min="9" max="9" width="7.421875" style="51" customWidth="1"/>
    <col min="10" max="10" width="11.8515625" style="51" customWidth="1"/>
    <col min="11" max="11" width="11.7109375" style="51" customWidth="1"/>
    <col min="12" max="16384" width="9.140625" style="51" customWidth="1"/>
  </cols>
  <sheetData>
    <row r="1" spans="1:11" ht="30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8.75" customHeight="1">
      <c r="A2" s="260" t="s">
        <v>304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6.5" customHeight="1">
      <c r="A3" s="258" t="s">
        <v>316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3.25">
      <c r="A4" s="261" t="s">
        <v>39</v>
      </c>
      <c r="B4" s="261"/>
      <c r="C4" s="261"/>
      <c r="D4" s="261"/>
      <c r="E4" s="261"/>
      <c r="F4" s="261"/>
      <c r="G4" s="261"/>
      <c r="H4" s="261"/>
      <c r="I4" s="63" t="s">
        <v>244</v>
      </c>
      <c r="J4" s="64" t="s">
        <v>282</v>
      </c>
      <c r="K4" s="64" t="s">
        <v>283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7">
        <v>2</v>
      </c>
      <c r="J5" s="68" t="s">
        <v>247</v>
      </c>
      <c r="K5" s="68" t="s">
        <v>248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>
      <c r="A7" s="199" t="s">
        <v>164</v>
      </c>
      <c r="B7" s="200"/>
      <c r="C7" s="200"/>
      <c r="D7" s="200"/>
      <c r="E7" s="200"/>
      <c r="F7" s="200"/>
      <c r="G7" s="200"/>
      <c r="H7" s="200"/>
      <c r="I7" s="1">
        <v>1</v>
      </c>
      <c r="J7" s="5">
        <v>2516430127</v>
      </c>
      <c r="K7" s="7">
        <v>3116393654</v>
      </c>
    </row>
    <row r="8" spans="1:11" ht="12.75">
      <c r="A8" s="199" t="s">
        <v>93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>
      <c r="A9" s="199" t="s">
        <v>94</v>
      </c>
      <c r="B9" s="200"/>
      <c r="C9" s="200"/>
      <c r="D9" s="200"/>
      <c r="E9" s="200"/>
      <c r="F9" s="200"/>
      <c r="G9" s="200"/>
      <c r="H9" s="200"/>
      <c r="I9" s="1">
        <v>3</v>
      </c>
      <c r="J9" s="5">
        <v>7567820</v>
      </c>
      <c r="K9" s="7">
        <v>5538010</v>
      </c>
    </row>
    <row r="10" spans="1:11" ht="12.75">
      <c r="A10" s="199" t="s">
        <v>95</v>
      </c>
      <c r="B10" s="200"/>
      <c r="C10" s="200"/>
      <c r="D10" s="200"/>
      <c r="E10" s="200"/>
      <c r="F10" s="200"/>
      <c r="G10" s="200"/>
      <c r="H10" s="200"/>
      <c r="I10" s="1">
        <v>4</v>
      </c>
      <c r="J10" s="5">
        <v>194868437</v>
      </c>
      <c r="K10" s="7">
        <v>250390241</v>
      </c>
    </row>
    <row r="11" spans="1:11" ht="12.75">
      <c r="A11" s="199" t="s">
        <v>96</v>
      </c>
      <c r="B11" s="200"/>
      <c r="C11" s="200"/>
      <c r="D11" s="200"/>
      <c r="E11" s="200"/>
      <c r="F11" s="200"/>
      <c r="G11" s="200"/>
      <c r="H11" s="200"/>
      <c r="I11" s="1">
        <v>5</v>
      </c>
      <c r="J11" s="5">
        <v>7150142</v>
      </c>
      <c r="K11" s="7">
        <v>7348958</v>
      </c>
    </row>
    <row r="12" spans="1:11" ht="14.25" customHeight="1">
      <c r="A12" s="202" t="s">
        <v>163</v>
      </c>
      <c r="B12" s="203"/>
      <c r="C12" s="203"/>
      <c r="D12" s="203"/>
      <c r="E12" s="203"/>
      <c r="F12" s="203"/>
      <c r="G12" s="203"/>
      <c r="H12" s="203"/>
      <c r="I12" s="1">
        <v>6</v>
      </c>
      <c r="J12" s="123">
        <f>SUM(J7:J11)</f>
        <v>2726016526</v>
      </c>
      <c r="K12" s="120">
        <f>SUM(K7:K11)</f>
        <v>3379670863</v>
      </c>
    </row>
    <row r="13" spans="1:11" ht="12.75">
      <c r="A13" s="199" t="s">
        <v>97</v>
      </c>
      <c r="B13" s="200"/>
      <c r="C13" s="200"/>
      <c r="D13" s="200"/>
      <c r="E13" s="200"/>
      <c r="F13" s="200"/>
      <c r="G13" s="200"/>
      <c r="H13" s="200"/>
      <c r="I13" s="1">
        <v>7</v>
      </c>
      <c r="J13" s="5">
        <v>2359506367</v>
      </c>
      <c r="K13" s="7">
        <v>2959086260</v>
      </c>
    </row>
    <row r="14" spans="1:11" ht="12.75">
      <c r="A14" s="199" t="s">
        <v>98</v>
      </c>
      <c r="B14" s="200"/>
      <c r="C14" s="200"/>
      <c r="D14" s="200"/>
      <c r="E14" s="200"/>
      <c r="F14" s="200"/>
      <c r="G14" s="200"/>
      <c r="H14" s="200"/>
      <c r="I14" s="1">
        <v>8</v>
      </c>
      <c r="J14" s="5">
        <v>245470345</v>
      </c>
      <c r="K14" s="7">
        <v>269722252</v>
      </c>
    </row>
    <row r="15" spans="1:11" ht="12.75">
      <c r="A15" s="199" t="s">
        <v>99</v>
      </c>
      <c r="B15" s="200"/>
      <c r="C15" s="200"/>
      <c r="D15" s="200"/>
      <c r="E15" s="200"/>
      <c r="F15" s="200"/>
      <c r="G15" s="200"/>
      <c r="H15" s="200"/>
      <c r="I15" s="1">
        <v>9</v>
      </c>
      <c r="J15" s="5">
        <v>12555826</v>
      </c>
      <c r="K15" s="7">
        <v>15347627</v>
      </c>
    </row>
    <row r="16" spans="1:11" ht="12.75">
      <c r="A16" s="199" t="s">
        <v>100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>
        <v>24675288</v>
      </c>
      <c r="K16" s="7">
        <v>29431695</v>
      </c>
    </row>
    <row r="17" spans="1:11" ht="12.75">
      <c r="A17" s="199" t="s">
        <v>101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>
        <v>114126022</v>
      </c>
      <c r="K17" s="7">
        <v>80843774</v>
      </c>
    </row>
    <row r="18" spans="1:11" ht="12.75">
      <c r="A18" s="199" t="s">
        <v>102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>
        <v>257266967</v>
      </c>
      <c r="K18" s="7">
        <v>14813333</v>
      </c>
    </row>
    <row r="19" spans="1:11" ht="14.25" customHeight="1">
      <c r="A19" s="202" t="s">
        <v>32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3">
        <f>SUM(J13:J18)</f>
        <v>3013600815</v>
      </c>
      <c r="K19" s="120">
        <f>SUM(K13:K18)</f>
        <v>3369244941</v>
      </c>
    </row>
    <row r="20" spans="1:11" ht="27.75" customHeight="1">
      <c r="A20" s="202" t="s">
        <v>84</v>
      </c>
      <c r="B20" s="255"/>
      <c r="C20" s="255"/>
      <c r="D20" s="255"/>
      <c r="E20" s="255"/>
      <c r="F20" s="255"/>
      <c r="G20" s="255"/>
      <c r="H20" s="256"/>
      <c r="I20" s="1">
        <v>14</v>
      </c>
      <c r="J20" s="61">
        <f>IF(J12&gt;J19,J12-J19,0)</f>
        <v>0</v>
      </c>
      <c r="K20" s="52">
        <f>IF(K12&gt;K19,K12-K19,0)</f>
        <v>10425922</v>
      </c>
    </row>
    <row r="21" spans="1:11" ht="27.75" customHeight="1">
      <c r="A21" s="214" t="s">
        <v>85</v>
      </c>
      <c r="B21" s="253"/>
      <c r="C21" s="253"/>
      <c r="D21" s="253"/>
      <c r="E21" s="253"/>
      <c r="F21" s="253"/>
      <c r="G21" s="253"/>
      <c r="H21" s="254"/>
      <c r="I21" s="1">
        <v>15</v>
      </c>
      <c r="J21" s="61">
        <f>IF(J19&gt;J12,J19-J12,0)</f>
        <v>287584289</v>
      </c>
      <c r="K21" s="52">
        <f>IF(K19&gt;K12,K19-K12,0)</f>
        <v>0</v>
      </c>
    </row>
    <row r="22" spans="1:11" ht="15" customHeight="1">
      <c r="A22" s="191" t="s">
        <v>131</v>
      </c>
      <c r="B22" s="192"/>
      <c r="C22" s="192"/>
      <c r="D22" s="192"/>
      <c r="E22" s="192"/>
      <c r="F22" s="192"/>
      <c r="G22" s="192"/>
      <c r="H22" s="192"/>
      <c r="I22" s="251"/>
      <c r="J22" s="251"/>
      <c r="K22" s="252"/>
    </row>
    <row r="23" spans="1:11" ht="12.75">
      <c r="A23" s="199" t="s">
        <v>136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>
        <v>17343</v>
      </c>
      <c r="K23" s="7">
        <v>53628</v>
      </c>
    </row>
    <row r="24" spans="1:11" ht="12.75">
      <c r="A24" s="199" t="s">
        <v>137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284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285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>
        <v>369664</v>
      </c>
      <c r="K26" s="7">
        <v>1322680</v>
      </c>
    </row>
    <row r="27" spans="1:11" ht="12.75">
      <c r="A27" s="199" t="s">
        <v>138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4.25" customHeight="1">
      <c r="A28" s="202" t="s">
        <v>90</v>
      </c>
      <c r="B28" s="203"/>
      <c r="C28" s="203"/>
      <c r="D28" s="203"/>
      <c r="E28" s="203"/>
      <c r="F28" s="203"/>
      <c r="G28" s="203"/>
      <c r="H28" s="203"/>
      <c r="I28" s="1">
        <v>21</v>
      </c>
      <c r="J28" s="123">
        <f>SUM(J23:J27)</f>
        <v>387007</v>
      </c>
      <c r="K28" s="120">
        <f>SUM(K23:K27)</f>
        <v>1376308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>
        <v>18341054</v>
      </c>
      <c r="K29" s="7">
        <v>39941196</v>
      </c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>
        <v>328842</v>
      </c>
      <c r="K30" s="7">
        <v>206940</v>
      </c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5.75" customHeight="1">
      <c r="A32" s="202" t="s">
        <v>33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23">
        <f>SUM(J29:J31)</f>
        <v>18669896</v>
      </c>
      <c r="K32" s="120">
        <f>SUM(K29:K31)</f>
        <v>40148136</v>
      </c>
    </row>
    <row r="33" spans="1:11" ht="27" customHeight="1">
      <c r="A33" s="202" t="s">
        <v>86</v>
      </c>
      <c r="B33" s="203"/>
      <c r="C33" s="203"/>
      <c r="D33" s="203"/>
      <c r="E33" s="203"/>
      <c r="F33" s="203"/>
      <c r="G33" s="203"/>
      <c r="H33" s="203"/>
      <c r="I33" s="1">
        <v>26</v>
      </c>
      <c r="J33" s="61">
        <f>IF(J28&gt;J32,J28-J32,0)</f>
        <v>0</v>
      </c>
      <c r="K33" s="52">
        <f>IF(K28&gt;K32,K28-K32,0)</f>
        <v>0</v>
      </c>
    </row>
    <row r="34" spans="1:11" ht="22.5" customHeight="1">
      <c r="A34" s="202" t="s">
        <v>87</v>
      </c>
      <c r="B34" s="203"/>
      <c r="C34" s="203"/>
      <c r="D34" s="203"/>
      <c r="E34" s="203"/>
      <c r="F34" s="203"/>
      <c r="G34" s="203"/>
      <c r="H34" s="203"/>
      <c r="I34" s="1">
        <v>27</v>
      </c>
      <c r="J34" s="61">
        <f>IF(J32&gt;J28,J32-J28,0)</f>
        <v>18282889</v>
      </c>
      <c r="K34" s="52">
        <f>IF(K32&gt;K28,K32-K28,0)</f>
        <v>38771828</v>
      </c>
    </row>
    <row r="35" spans="1:11" ht="12.75">
      <c r="A35" s="191" t="s">
        <v>132</v>
      </c>
      <c r="B35" s="192"/>
      <c r="C35" s="192"/>
      <c r="D35" s="192"/>
      <c r="E35" s="192"/>
      <c r="F35" s="192"/>
      <c r="G35" s="192"/>
      <c r="H35" s="192"/>
      <c r="I35" s="251">
        <v>0</v>
      </c>
      <c r="J35" s="251"/>
      <c r="K35" s="252"/>
    </row>
    <row r="36" spans="1:11" ht="12.75">
      <c r="A36" s="199" t="s">
        <v>144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21664539</v>
      </c>
      <c r="K36" s="7">
        <v>81110800</v>
      </c>
    </row>
    <row r="37" spans="1:11" ht="12.75">
      <c r="A37" s="199" t="s">
        <v>23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>
        <v>498225388</v>
      </c>
      <c r="K37" s="7">
        <v>875310154</v>
      </c>
    </row>
    <row r="38" spans="1:11" ht="12.75">
      <c r="A38" s="199" t="s">
        <v>24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>
        <v>309966111</v>
      </c>
      <c r="K38" s="7">
        <v>243798919</v>
      </c>
    </row>
    <row r="39" spans="1:11" ht="15.75" customHeight="1">
      <c r="A39" s="202" t="s">
        <v>34</v>
      </c>
      <c r="B39" s="203"/>
      <c r="C39" s="203"/>
      <c r="D39" s="203"/>
      <c r="E39" s="203"/>
      <c r="F39" s="203"/>
      <c r="G39" s="203"/>
      <c r="H39" s="203"/>
      <c r="I39" s="1">
        <v>31</v>
      </c>
      <c r="J39" s="123">
        <f>SUM(J36:J38)</f>
        <v>829856038</v>
      </c>
      <c r="K39" s="120">
        <f>SUM(K36:K38)</f>
        <v>1200219873</v>
      </c>
    </row>
    <row r="40" spans="1:11" ht="12.75">
      <c r="A40" s="199" t="s">
        <v>25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>
        <v>357730025</v>
      </c>
      <c r="K40" s="7">
        <v>903828114</v>
      </c>
    </row>
    <row r="41" spans="1:11" ht="12.75">
      <c r="A41" s="199" t="s">
        <v>26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27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28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9" t="s">
        <v>29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>
        <v>402456198</v>
      </c>
      <c r="K44" s="7">
        <v>280919391</v>
      </c>
    </row>
    <row r="45" spans="1:11" ht="19.5" customHeight="1">
      <c r="A45" s="202" t="s">
        <v>122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3">
        <f>SUM(J40:J44)</f>
        <v>760186223</v>
      </c>
      <c r="K45" s="120">
        <f>SUM(K40:K44)</f>
        <v>1184747505</v>
      </c>
    </row>
    <row r="46" spans="1:11" ht="24.75" customHeight="1">
      <c r="A46" s="202" t="s">
        <v>134</v>
      </c>
      <c r="B46" s="203"/>
      <c r="C46" s="203"/>
      <c r="D46" s="203"/>
      <c r="E46" s="203"/>
      <c r="F46" s="203"/>
      <c r="G46" s="203"/>
      <c r="H46" s="203"/>
      <c r="I46" s="1">
        <v>38</v>
      </c>
      <c r="J46" s="61">
        <f>IF(J39&gt;J45,J39-J45,0)</f>
        <v>69669815</v>
      </c>
      <c r="K46" s="52">
        <f>IF(K39&gt;K45,K39-K45,0)</f>
        <v>15472368</v>
      </c>
    </row>
    <row r="47" spans="1:11" ht="24" customHeight="1">
      <c r="A47" s="202" t="s">
        <v>135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IF(J45&gt;J39,J45-J39,0)</f>
        <v>0</v>
      </c>
      <c r="K47" s="52">
        <f>IF(K45&gt;K39,K45-K39,0)</f>
        <v>0</v>
      </c>
    </row>
    <row r="48" spans="1:11" ht="12.75">
      <c r="A48" s="202" t="s">
        <v>123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2" t="s">
        <v>12</v>
      </c>
      <c r="B49" s="203"/>
      <c r="C49" s="203"/>
      <c r="D49" s="203"/>
      <c r="E49" s="203"/>
      <c r="F49" s="203"/>
      <c r="G49" s="203"/>
      <c r="H49" s="203"/>
      <c r="I49" s="1">
        <v>41</v>
      </c>
      <c r="J49" s="61">
        <f>IF(J21-J20+J34-J33+J47-J46&gt;0,J21-J20+J34-J33+J47-J46,0)</f>
        <v>236197363</v>
      </c>
      <c r="K49" s="52">
        <f>IF(K21-K20+K34-K33+K47-K46&gt;0,K21-K20+K34-K33+K47-K46,0)</f>
        <v>12873538</v>
      </c>
    </row>
    <row r="50" spans="1:11" ht="12.75">
      <c r="A50" s="202" t="s">
        <v>133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30452095</v>
      </c>
      <c r="K50" s="7">
        <v>25795002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146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>
        <v>4657093</v>
      </c>
      <c r="K52" s="7">
        <v>12873538</v>
      </c>
    </row>
    <row r="53" spans="1:11" ht="12.75">
      <c r="A53" s="214" t="s">
        <v>147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2">
        <f>J50+J51-J52</f>
        <v>25795002</v>
      </c>
      <c r="K53" s="59">
        <f>K50+K51-K52</f>
        <v>12921464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89" right="0.75" top="0.72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5.7109375" style="70" customWidth="1"/>
    <col min="2" max="2" width="3.7109375" style="70" customWidth="1"/>
    <col min="3" max="3" width="6.7109375" style="70" customWidth="1"/>
    <col min="4" max="4" width="11.00390625" style="70" customWidth="1"/>
    <col min="5" max="5" width="12.57421875" style="70" customWidth="1"/>
    <col min="6" max="6" width="7.140625" style="70" customWidth="1"/>
    <col min="7" max="7" width="9.140625" style="70" customWidth="1"/>
    <col min="8" max="8" width="5.421875" style="70" customWidth="1"/>
    <col min="9" max="9" width="7.140625" style="70" customWidth="1"/>
    <col min="10" max="11" width="11.140625" style="70" customWidth="1"/>
    <col min="12" max="16384" width="9.140625" style="70" customWidth="1"/>
  </cols>
  <sheetData>
    <row r="1" spans="1:12" ht="28.5" customHeight="1">
      <c r="A1" s="264" t="s">
        <v>246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9"/>
    </row>
    <row r="2" spans="1:12" ht="24" customHeight="1">
      <c r="A2" s="264" t="s">
        <v>305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71"/>
    </row>
    <row r="3" spans="1:12" ht="24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71"/>
    </row>
    <row r="4" spans="1:12" ht="16.5" customHeight="1">
      <c r="A4" s="265" t="s">
        <v>315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  <c r="L4" s="71"/>
    </row>
    <row r="5" spans="1:11" ht="23.25">
      <c r="A5" s="262" t="s">
        <v>39</v>
      </c>
      <c r="B5" s="262"/>
      <c r="C5" s="262"/>
      <c r="D5" s="262"/>
      <c r="E5" s="262"/>
      <c r="F5" s="262"/>
      <c r="G5" s="262"/>
      <c r="H5" s="262"/>
      <c r="I5" s="74" t="s">
        <v>269</v>
      </c>
      <c r="J5" s="75" t="s">
        <v>124</v>
      </c>
      <c r="K5" s="75" t="s">
        <v>125</v>
      </c>
    </row>
    <row r="6" spans="1:11" ht="12.75">
      <c r="A6" s="263">
        <v>1</v>
      </c>
      <c r="B6" s="263"/>
      <c r="C6" s="263"/>
      <c r="D6" s="263"/>
      <c r="E6" s="263"/>
      <c r="F6" s="263"/>
      <c r="G6" s="263"/>
      <c r="H6" s="263"/>
      <c r="I6" s="77">
        <v>2</v>
      </c>
      <c r="J6" s="76" t="s">
        <v>247</v>
      </c>
      <c r="K6" s="76" t="s">
        <v>248</v>
      </c>
    </row>
    <row r="7" spans="1:11" ht="12.75">
      <c r="A7" s="268" t="s">
        <v>249</v>
      </c>
      <c r="B7" s="269"/>
      <c r="C7" s="269"/>
      <c r="D7" s="269"/>
      <c r="E7" s="269"/>
      <c r="F7" s="269"/>
      <c r="G7" s="269"/>
      <c r="H7" s="269"/>
      <c r="I7" s="43">
        <v>1</v>
      </c>
      <c r="J7" s="44">
        <v>902101590</v>
      </c>
      <c r="K7" s="44">
        <v>902101590</v>
      </c>
    </row>
    <row r="8" spans="1:11" ht="12.75">
      <c r="A8" s="268" t="s">
        <v>250</v>
      </c>
      <c r="B8" s="269"/>
      <c r="C8" s="269"/>
      <c r="D8" s="269"/>
      <c r="E8" s="269"/>
      <c r="F8" s="269"/>
      <c r="G8" s="269"/>
      <c r="H8" s="269"/>
      <c r="I8" s="43">
        <v>2</v>
      </c>
      <c r="J8" s="45"/>
      <c r="K8" s="45"/>
    </row>
    <row r="9" spans="1:11" ht="12.75">
      <c r="A9" s="268" t="s">
        <v>251</v>
      </c>
      <c r="B9" s="269"/>
      <c r="C9" s="269"/>
      <c r="D9" s="269"/>
      <c r="E9" s="269"/>
      <c r="F9" s="269"/>
      <c r="G9" s="269"/>
      <c r="H9" s="269"/>
      <c r="I9" s="43">
        <v>3</v>
      </c>
      <c r="J9" s="45"/>
      <c r="K9" s="45"/>
    </row>
    <row r="10" spans="1:11" ht="12.75">
      <c r="A10" s="268" t="s">
        <v>252</v>
      </c>
      <c r="B10" s="269"/>
      <c r="C10" s="269"/>
      <c r="D10" s="269"/>
      <c r="E10" s="269"/>
      <c r="F10" s="269"/>
      <c r="G10" s="269"/>
      <c r="H10" s="269"/>
      <c r="I10" s="43">
        <v>4</v>
      </c>
      <c r="J10" s="45">
        <v>-108982828</v>
      </c>
      <c r="K10" s="45">
        <v>-244715098</v>
      </c>
    </row>
    <row r="11" spans="1:11" ht="12.75">
      <c r="A11" s="268" t="s">
        <v>253</v>
      </c>
      <c r="B11" s="269"/>
      <c r="C11" s="269"/>
      <c r="D11" s="269"/>
      <c r="E11" s="269"/>
      <c r="F11" s="269"/>
      <c r="G11" s="269"/>
      <c r="H11" s="269"/>
      <c r="I11" s="43">
        <v>5</v>
      </c>
      <c r="J11" s="45">
        <v>-136105960</v>
      </c>
      <c r="K11" s="45">
        <v>106490198</v>
      </c>
    </row>
    <row r="12" spans="1:11" ht="12.75">
      <c r="A12" s="268" t="s">
        <v>254</v>
      </c>
      <c r="B12" s="269"/>
      <c r="C12" s="269"/>
      <c r="D12" s="269"/>
      <c r="E12" s="269"/>
      <c r="F12" s="269"/>
      <c r="G12" s="269"/>
      <c r="H12" s="269"/>
      <c r="I12" s="43">
        <v>6</v>
      </c>
      <c r="J12" s="45"/>
      <c r="K12" s="45"/>
    </row>
    <row r="13" spans="1:11" ht="12.75">
      <c r="A13" s="268" t="s">
        <v>255</v>
      </c>
      <c r="B13" s="269"/>
      <c r="C13" s="269"/>
      <c r="D13" s="269"/>
      <c r="E13" s="269"/>
      <c r="F13" s="269"/>
      <c r="G13" s="269"/>
      <c r="H13" s="269"/>
      <c r="I13" s="43">
        <v>7</v>
      </c>
      <c r="J13" s="45"/>
      <c r="K13" s="45"/>
    </row>
    <row r="14" spans="1:11" ht="12.75">
      <c r="A14" s="268" t="s">
        <v>256</v>
      </c>
      <c r="B14" s="269"/>
      <c r="C14" s="269"/>
      <c r="D14" s="269"/>
      <c r="E14" s="269"/>
      <c r="F14" s="269"/>
      <c r="G14" s="269"/>
      <c r="H14" s="269"/>
      <c r="I14" s="43">
        <v>8</v>
      </c>
      <c r="J14" s="45"/>
      <c r="K14" s="45"/>
    </row>
    <row r="15" spans="1:11" ht="12.75">
      <c r="A15" s="268" t="s">
        <v>257</v>
      </c>
      <c r="B15" s="269"/>
      <c r="C15" s="269"/>
      <c r="D15" s="269"/>
      <c r="E15" s="269"/>
      <c r="F15" s="269"/>
      <c r="G15" s="269"/>
      <c r="H15" s="269"/>
      <c r="I15" s="43">
        <v>9</v>
      </c>
      <c r="J15" s="45"/>
      <c r="K15" s="45"/>
    </row>
    <row r="16" spans="1:11" ht="12.75">
      <c r="A16" s="270" t="s">
        <v>258</v>
      </c>
      <c r="B16" s="271"/>
      <c r="C16" s="271"/>
      <c r="D16" s="271"/>
      <c r="E16" s="271"/>
      <c r="F16" s="271"/>
      <c r="G16" s="271"/>
      <c r="H16" s="271"/>
      <c r="I16" s="43">
        <v>10</v>
      </c>
      <c r="J16" s="72">
        <f>SUM(J7:J15)</f>
        <v>657012802</v>
      </c>
      <c r="K16" s="72">
        <f>SUM(K7:K15)</f>
        <v>763876690</v>
      </c>
    </row>
    <row r="17" spans="1:11" ht="12.75">
      <c r="A17" s="268" t="s">
        <v>259</v>
      </c>
      <c r="B17" s="269"/>
      <c r="C17" s="269"/>
      <c r="D17" s="269"/>
      <c r="E17" s="269"/>
      <c r="F17" s="269"/>
      <c r="G17" s="269"/>
      <c r="H17" s="269"/>
      <c r="I17" s="43">
        <v>11</v>
      </c>
      <c r="J17" s="45"/>
      <c r="K17" s="45"/>
    </row>
    <row r="18" spans="1:11" ht="12.75">
      <c r="A18" s="268" t="s">
        <v>260</v>
      </c>
      <c r="B18" s="269"/>
      <c r="C18" s="269"/>
      <c r="D18" s="269"/>
      <c r="E18" s="269"/>
      <c r="F18" s="269"/>
      <c r="G18" s="269"/>
      <c r="H18" s="269"/>
      <c r="I18" s="43">
        <v>12</v>
      </c>
      <c r="J18" s="45"/>
      <c r="K18" s="45"/>
    </row>
    <row r="19" spans="1:11" ht="12.75">
      <c r="A19" s="268" t="s">
        <v>261</v>
      </c>
      <c r="B19" s="269"/>
      <c r="C19" s="269"/>
      <c r="D19" s="269"/>
      <c r="E19" s="269"/>
      <c r="F19" s="269"/>
      <c r="G19" s="269"/>
      <c r="H19" s="269"/>
      <c r="I19" s="43">
        <v>13</v>
      </c>
      <c r="J19" s="45"/>
      <c r="K19" s="45"/>
    </row>
    <row r="20" spans="1:11" ht="12.75">
      <c r="A20" s="268" t="s">
        <v>262</v>
      </c>
      <c r="B20" s="269"/>
      <c r="C20" s="269"/>
      <c r="D20" s="269"/>
      <c r="E20" s="269"/>
      <c r="F20" s="269"/>
      <c r="G20" s="269"/>
      <c r="H20" s="269"/>
      <c r="I20" s="43">
        <v>14</v>
      </c>
      <c r="J20" s="45"/>
      <c r="K20" s="45"/>
    </row>
    <row r="21" spans="1:11" ht="12.75">
      <c r="A21" s="268" t="s">
        <v>263</v>
      </c>
      <c r="B21" s="269"/>
      <c r="C21" s="269"/>
      <c r="D21" s="269"/>
      <c r="E21" s="269"/>
      <c r="F21" s="269"/>
      <c r="G21" s="269"/>
      <c r="H21" s="269"/>
      <c r="I21" s="43">
        <v>15</v>
      </c>
      <c r="J21" s="45"/>
      <c r="K21" s="45"/>
    </row>
    <row r="22" spans="1:11" ht="12.75">
      <c r="A22" s="268" t="s">
        <v>264</v>
      </c>
      <c r="B22" s="269"/>
      <c r="C22" s="269"/>
      <c r="D22" s="269"/>
      <c r="E22" s="269"/>
      <c r="F22" s="269"/>
      <c r="G22" s="269"/>
      <c r="H22" s="269"/>
      <c r="I22" s="43">
        <v>16</v>
      </c>
      <c r="J22" s="45"/>
      <c r="K22" s="45"/>
    </row>
    <row r="23" spans="1:11" ht="12.75">
      <c r="A23" s="270" t="s">
        <v>265</v>
      </c>
      <c r="B23" s="271"/>
      <c r="C23" s="271"/>
      <c r="D23" s="271"/>
      <c r="E23" s="271"/>
      <c r="F23" s="271"/>
      <c r="G23" s="271"/>
      <c r="H23" s="271"/>
      <c r="I23" s="43">
        <v>17</v>
      </c>
      <c r="J23" s="73">
        <f>SUM(J17:J22)</f>
        <v>0</v>
      </c>
      <c r="K23" s="73">
        <f>SUM(K17:K22)</f>
        <v>0</v>
      </c>
    </row>
    <row r="24" spans="1:11" ht="12.75">
      <c r="A24" s="279"/>
      <c r="B24" s="280"/>
      <c r="C24" s="280"/>
      <c r="D24" s="280"/>
      <c r="E24" s="280"/>
      <c r="F24" s="280"/>
      <c r="G24" s="280"/>
      <c r="H24" s="280"/>
      <c r="I24" s="281"/>
      <c r="J24" s="281"/>
      <c r="K24" s="282"/>
    </row>
    <row r="25" spans="1:11" ht="12.75">
      <c r="A25" s="272" t="s">
        <v>266</v>
      </c>
      <c r="B25" s="273"/>
      <c r="C25" s="273"/>
      <c r="D25" s="273"/>
      <c r="E25" s="273"/>
      <c r="F25" s="273"/>
      <c r="G25" s="273"/>
      <c r="H25" s="273"/>
      <c r="I25" s="46">
        <v>18</v>
      </c>
      <c r="J25" s="44">
        <v>657012802</v>
      </c>
      <c r="K25" s="44">
        <v>763876690</v>
      </c>
    </row>
    <row r="26" spans="1:11" ht="17.25" customHeight="1">
      <c r="A26" s="274" t="s">
        <v>267</v>
      </c>
      <c r="B26" s="275"/>
      <c r="C26" s="275"/>
      <c r="D26" s="275"/>
      <c r="E26" s="275"/>
      <c r="F26" s="275"/>
      <c r="G26" s="275"/>
      <c r="H26" s="275"/>
      <c r="I26" s="47">
        <v>19</v>
      </c>
      <c r="J26" s="73"/>
      <c r="K26" s="73"/>
    </row>
    <row r="27" spans="1:11" ht="30" customHeight="1">
      <c r="A27" s="276" t="s">
        <v>268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</sheetData>
  <sheetProtection/>
  <protectedRanges>
    <protectedRange sqref="E2:E4" name="Range1_1"/>
    <protectedRange sqref="G2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9:H9"/>
    <mergeCell ref="A10:H10"/>
    <mergeCell ref="A5:H5"/>
    <mergeCell ref="A6:H6"/>
    <mergeCell ref="A2:K2"/>
    <mergeCell ref="A4:K4"/>
  </mergeCells>
  <dataValidations count="1">
    <dataValidation allowBlank="1" sqref="A1:A65536 L1:IV65536 B1:K1 B5:K65536"/>
  </dataValidations>
  <printOptions/>
  <pageMargins left="0.75" right="0.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3" t="s">
        <v>245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3.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2012-02-13T07:35:50Z</cp:lastPrinted>
  <dcterms:created xsi:type="dcterms:W3CDTF">2008-10-17T11:51:54Z</dcterms:created>
  <dcterms:modified xsi:type="dcterms:W3CDTF">2012-02-13T07:36:29Z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