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8800" windowHeight="114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<sst xmlns="http://schemas.openxmlformats.org/spreadsheetml/2006/main" count="399" uniqueCount="346">
  <si>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</si>
  <si>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</si>
  <si>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</si>
  <si>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</si>
  <si>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</si>
  <si>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</si>
  <si>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</si>
  <si>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</si>
  <si>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</si>
  <si>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</si>
  <si>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</si>
  <si>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</si>
  <si>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</si>
  <si>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</si>
  <si>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</si>
  <si>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</si>
  <si>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</si>
  <si>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</si>
  <si>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</si>
  <si>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</si>
  <si>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</si>
  <si>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</si>
  <si>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</si>
  <si>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</si>
  <si>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</si>
  <si>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</si>
  <si>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</si>
  <si>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</si>
  <si>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</si>
  <si>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</si>
  <si>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</si>
  <si>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</si>
  <si>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</si>
  <si>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</si>
  <si>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</si>
  <si>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</si>
  <si>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</si>
  <si>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</si>
  <si>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</si>
  <si>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</si>
  <si>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</si>
  <si>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</si>
  <si>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</si>
  <si>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</si>
  <si>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</si>
  <si>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</si>
  <si>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</si>
  <si>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</si>
  <si>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</si>
  <si>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</si>
  <si>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</si>
  <si>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</si>
  <si>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</si>
  <si>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</si>
  <si>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</si>
  <si>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</si>
  <si>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</si>
  <si>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</si>
  <si>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</si>
  <si>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</si>
  <si>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</si>
  <si>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</si>
  <si>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</si>
  <si>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</si>
  <si>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</si>
  <si>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</si>
  <si>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</si>
  <si>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</si>
  <si>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</si>
  <si>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</si>
  <si>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</si>
  <si>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</si>
  <si>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</si>
  <si>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</si>
  <si>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</si>
  <si>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</si>
  <si>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</si>
  <si>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</si>
  <si>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</si>
  <si>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</si>
  <si>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</si>
  <si>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</si>
  <si>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</si>
  <si>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</si>
  <si>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</si>
  <si>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</si>
  <si>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</si>
  <si>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</si>
  <si>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</si>
  <si>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</si>
  <si>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</si>
  <si>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</si>
  <si>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</si>
  <si>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</si>
  <si>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</si>
  <si>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</si>
  <si>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</si>
  <si>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</si>
  <si>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</si>
  <si>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</si>
  <si>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</si>
  <si>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</si>
  <si>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</si>
  <si>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</si>
  <si>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</si>
  <si>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</si>
  <si>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</si>
  <si>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</si>
  <si>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</si>
  <si>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</si>
  <si>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</si>
  <si>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</si>
  <si>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</si>
  <si>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</si>
  <si>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</si>
  <si>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</si>
  <si>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</si>
  <si>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</si>
  <si>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</si>
  <si>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</si>
  <si>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</si>
  <si>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</si>
  <si>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</si>
  <si>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</si>
  <si>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</si>
  <si>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</si>
  <si>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</si>
  <si>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</si>
  <si>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</si>
  <si>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</si>
  <si>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</si>
  <si>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</si>
  <si>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</si>
  <si>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</si>
  <si>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</si>
  <si>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</si>
  <si>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</si>
  <si>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</si>
  <si>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</si>
  <si>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</si>
  <si>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</si>
  <si>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</si>
  <si>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</si>
  <si>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</si>
  <si>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</si>
  <si>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</si>
  <si>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</si>
  <si>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</si>
  <si>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</si>
  <si>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</si>
  <si>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</si>
  <si>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</si>
  <si>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</si>
  <si>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</si>
  <si>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</si>
  <si>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</si>
  <si>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</si>
  <si>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</si>
  <si>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</si>
  <si>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</si>
  <si>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</si>
  <si>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</si>
  <si>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</si>
  <si>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</si>
  <si>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</si>
  <si>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</si>
  <si>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</si>
  <si>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</si>
  <si>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</si>
  <si>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</si>
  <si>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</si>
  <si>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</si>
  <si>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</si>
  <si>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</si>
  <si>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</si>
  <si>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</si>
  <si>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</si>
  <si>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</si>
  <si>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</si>
  <si>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</si>
  <si>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</si>
  <si>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</si>
  <si>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</si>
  <si>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</si>
  <si>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</si>
  <si>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</si>
  <si>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</si>
  <si>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</si>
  <si>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</si>
  <si>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</si>
  <si>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</si>
  <si>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</si>
  <si>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</si>
  <si>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</si>
  <si>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</si>
  <si>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</si>
  <si>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</si>
  <si>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</si>
  <si>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</si>
  <si>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</si>
  <si>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</si>
  <si>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</si>
  <si>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</si>
  <si>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</si>
  <si>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</si>
  <si>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</si>
  <si>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</si>
  <si>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</si>
  <si>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</si>
  <si>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</si>
  <si>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</si>
  <si>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</si>
  <si>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</si>
  <si>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</si>
  <si>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</si>
  <si>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</si>
  <si>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</si>
  <si>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</si>
  <si>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</si>
  <si>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</si>
  <si>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</si>
  <si>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</si>
  <si>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</si>
  <si>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</si>
  <si>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</si>
  <si>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</si>
  <si>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</si>
  <si>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</si>
  <si>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</si>
  <si>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</si>
  <si>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</si>
  <si>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</si>
  <si>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</si>
  <si>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</si>
  <si>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</si>
  <si>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</si>
  <si>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</si>
  <si>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</si>
  <si>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</si>
  <si>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</si>
  <si>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</si>
  <si>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</si>
  <si>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</si>
  <si>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</si>
  <si>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</si>
  <si>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</si>
  <si>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</si>
  <si>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</si>
  <si>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</si>
  <si>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</si>
  <si>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</si>
  <si>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</si>
  <si>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</si>
  <si>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</si>
  <si>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</si>
  <si>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</si>
  <si>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</si>
  <si>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</si>
  <si>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</si>
  <si>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</si>
  <si>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</si>
  <si>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</si>
  <si>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</si>
  <si>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</si>
  <si>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</si>
  <si>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</si>
  <si>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</si>
  <si>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</si>
  <si>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</si>
  <si>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</si>
  <si>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</si>
  <si>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</si>
  <si>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</si>
  <si>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</si>
  <si>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</si>
  <si>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</si>
  <si>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</si>
  <si>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</si>
  <si>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</si>
  <si>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</si>
  <si>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</si>
  <si>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</si>
  <si>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</si>
  <si>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</si>
  <si>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</si>
  <si>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</si>
  <si>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</si>
  <si>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</si>
  <si>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</si>
  <si>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</si>
  <si>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</si>
  <si>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</si>
  <si>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</si>
  <si>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</si>
  <si>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</si>
  <si>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</si>
  <si>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</si>
  <si>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</si>
  <si>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</si>
  <si>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</si>
  <si>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</si>
  <si>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</si>
  <si>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</si>
  <si>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</si>
  <si>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</si>
  <si>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</si>
  <si>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</si>
  <si>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</si>
  <si>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</si>
  <si>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</si>
  <si>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</si>
  <si>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</si>
  <si>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</si>
  <si>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</si>
  <si>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</si>
  <si>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</si>
  <si>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</si>
  <si>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</si>
  <si>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</si>
  <si>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</si>
  <si>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</si>
  <si>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</si>
  <si>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</si>
  <si>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30.06.2017.</t>
  </si>
  <si>
    <t>01.01.2017.</t>
  </si>
  <si>
    <t>03112322</t>
  </si>
  <si>
    <t>060007362</t>
  </si>
  <si>
    <t>07602786563</t>
  </si>
  <si>
    <t>MARASKA D.D.</t>
  </si>
  <si>
    <t>ZADAR</t>
  </si>
  <si>
    <t>BIOGRADSKA CESTA 64 A</t>
  </si>
  <si>
    <t>maraska@maraska.hr</t>
  </si>
  <si>
    <t>www.maraska.hr</t>
  </si>
  <si>
    <t>ZADARSKA</t>
  </si>
  <si>
    <t>NE</t>
  </si>
  <si>
    <t>1101</t>
  </si>
  <si>
    <t>023/208-805</t>
  </si>
  <si>
    <t>023/208-801</t>
  </si>
  <si>
    <t>STIPE BEVANDA</t>
  </si>
  <si>
    <t>Obveznik: MARASKA d.d.</t>
  </si>
  <si>
    <t>stanje na dan 30.09.2018.</t>
  </si>
  <si>
    <t>u razdoblju 01.01.2018. do 30.09.2018.</t>
  </si>
  <si>
    <t>RAJKO STRENJA</t>
  </si>
  <si>
    <t>rajko.strenja@maraska.hr</t>
  </si>
  <si>
    <t>01.01.2018.</t>
  </si>
  <si>
    <t>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</si>
</sst>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aska@maraska.hr" TargetMode="External" /><Relationship Id="rId2" Type="http://schemas.openxmlformats.org/officeDocument/2006/relationships/hyperlink" Target="http://www.maraska.hr/" TargetMode="External" /><Relationship Id="rId3" Type="http://schemas.openxmlformats.org/officeDocument/2006/relationships/hyperlink" Target="mailto:rajko.strenja@mara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52"/>
      <c r="C1" s="15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20" t="s">
        <v>344</v>
      </c>
      <c r="F2" s="12"/>
      <c r="G2" s="13" t="s">
        <v>250</v>
      </c>
      <c r="H2" s="120" t="s">
        <v>345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2" t="s">
        <v>317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2" t="s">
        <v>251</v>
      </c>
      <c r="B6" s="143"/>
      <c r="C6" s="157" t="s">
        <v>325</v>
      </c>
      <c r="D6" s="158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5" t="s">
        <v>252</v>
      </c>
      <c r="B8" s="196"/>
      <c r="C8" s="157" t="s">
        <v>326</v>
      </c>
      <c r="D8" s="158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7" t="s">
        <v>253</v>
      </c>
      <c r="B10" s="187"/>
      <c r="C10" s="157" t="s">
        <v>327</v>
      </c>
      <c r="D10" s="158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2" t="s">
        <v>254</v>
      </c>
      <c r="B12" s="143"/>
      <c r="C12" s="159" t="s">
        <v>328</v>
      </c>
      <c r="D12" s="184"/>
      <c r="E12" s="184"/>
      <c r="F12" s="184"/>
      <c r="G12" s="184"/>
      <c r="H12" s="18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2" t="s">
        <v>255</v>
      </c>
      <c r="B14" s="143"/>
      <c r="C14" s="185">
        <v>23000</v>
      </c>
      <c r="D14" s="186"/>
      <c r="E14" s="16"/>
      <c r="F14" s="159" t="s">
        <v>329</v>
      </c>
      <c r="G14" s="184"/>
      <c r="H14" s="18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2" t="s">
        <v>256</v>
      </c>
      <c r="B16" s="143"/>
      <c r="C16" s="159" t="s">
        <v>330</v>
      </c>
      <c r="D16" s="184"/>
      <c r="E16" s="184"/>
      <c r="F16" s="184"/>
      <c r="G16" s="184"/>
      <c r="H16" s="18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2" t="s">
        <v>257</v>
      </c>
      <c r="B18" s="143"/>
      <c r="C18" s="180" t="s">
        <v>331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2" t="s">
        <v>258</v>
      </c>
      <c r="B20" s="143"/>
      <c r="C20" s="180" t="s">
        <v>332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2" t="s">
        <v>259</v>
      </c>
      <c r="B22" s="143"/>
      <c r="C22" s="121">
        <v>520</v>
      </c>
      <c r="D22" s="159" t="s">
        <v>329</v>
      </c>
      <c r="E22" s="170"/>
      <c r="F22" s="171"/>
      <c r="G22" s="142"/>
      <c r="H22" s="18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2" t="s">
        <v>260</v>
      </c>
      <c r="B24" s="143"/>
      <c r="C24" s="121">
        <v>13</v>
      </c>
      <c r="D24" s="159" t="s">
        <v>333</v>
      </c>
      <c r="E24" s="170"/>
      <c r="F24" s="170"/>
      <c r="G24" s="171"/>
      <c r="H24" s="51" t="s">
        <v>261</v>
      </c>
      <c r="I24" s="122">
        <v>169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2" t="s">
        <v>262</v>
      </c>
      <c r="B26" s="143"/>
      <c r="C26" s="123" t="s">
        <v>334</v>
      </c>
      <c r="D26" s="25"/>
      <c r="E26" s="33"/>
      <c r="F26" s="24"/>
      <c r="G26" s="172" t="s">
        <v>263</v>
      </c>
      <c r="H26" s="143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3" t="s">
        <v>264</v>
      </c>
      <c r="B28" s="174"/>
      <c r="C28" s="175"/>
      <c r="D28" s="175"/>
      <c r="E28" s="176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7"/>
      <c r="B30" s="160"/>
      <c r="C30" s="160"/>
      <c r="D30" s="161"/>
      <c r="E30" s="167"/>
      <c r="F30" s="160"/>
      <c r="G30" s="160"/>
      <c r="H30" s="157"/>
      <c r="I30" s="158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 ht="12.75">
      <c r="A32" s="167"/>
      <c r="B32" s="160"/>
      <c r="C32" s="160"/>
      <c r="D32" s="161"/>
      <c r="E32" s="167"/>
      <c r="F32" s="160"/>
      <c r="G32" s="160"/>
      <c r="H32" s="157"/>
      <c r="I32" s="158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7"/>
      <c r="B34" s="160"/>
      <c r="C34" s="160"/>
      <c r="D34" s="161"/>
      <c r="E34" s="167"/>
      <c r="F34" s="160"/>
      <c r="G34" s="160"/>
      <c r="H34" s="157"/>
      <c r="I34" s="158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 ht="12.75">
      <c r="A37" s="103"/>
      <c r="B37" s="30"/>
      <c r="C37" s="162"/>
      <c r="D37" s="163"/>
      <c r="E37" s="16"/>
      <c r="F37" s="162"/>
      <c r="G37" s="163"/>
      <c r="H37" s="16"/>
      <c r="I37" s="95"/>
      <c r="J37" s="10"/>
      <c r="K37" s="10"/>
      <c r="L37" s="10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7" t="s">
        <v>267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103"/>
      <c r="B45" s="30"/>
      <c r="C45" s="162"/>
      <c r="D45" s="163"/>
      <c r="E45" s="16"/>
      <c r="F45" s="162"/>
      <c r="G45" s="164"/>
      <c r="H45" s="35"/>
      <c r="I45" s="107"/>
      <c r="J45" s="10"/>
      <c r="K45" s="10"/>
      <c r="L45" s="10"/>
    </row>
    <row r="46" spans="1:12" ht="12.75">
      <c r="A46" s="137" t="s">
        <v>268</v>
      </c>
      <c r="B46" s="138"/>
      <c r="C46" s="159" t="s">
        <v>342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7" t="s">
        <v>270</v>
      </c>
      <c r="B48" s="138"/>
      <c r="C48" s="144" t="s">
        <v>336</v>
      </c>
      <c r="D48" s="140"/>
      <c r="E48" s="141"/>
      <c r="F48" s="16"/>
      <c r="G48" s="51" t="s">
        <v>271</v>
      </c>
      <c r="H48" s="144" t="s">
        <v>337</v>
      </c>
      <c r="I48" s="14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7" t="s">
        <v>257</v>
      </c>
      <c r="B50" s="138"/>
      <c r="C50" s="139" t="s">
        <v>343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2" t="s">
        <v>272</v>
      </c>
      <c r="B52" s="143"/>
      <c r="C52" s="144" t="s">
        <v>338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8"/>
      <c r="B53" s="20"/>
      <c r="C53" s="153" t="s">
        <v>273</v>
      </c>
      <c r="D53" s="153"/>
      <c r="E53" s="153"/>
      <c r="F53" s="153"/>
      <c r="G53" s="153"/>
      <c r="H53" s="15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6" t="s">
        <v>274</v>
      </c>
      <c r="C55" s="147"/>
      <c r="D55" s="147"/>
      <c r="E55" s="14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8" t="s">
        <v>306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8"/>
      <c r="B57" s="148" t="s">
        <v>307</v>
      </c>
      <c r="C57" s="149"/>
      <c r="D57" s="149"/>
      <c r="E57" s="149"/>
      <c r="F57" s="149"/>
      <c r="G57" s="149"/>
      <c r="H57" s="149"/>
      <c r="I57" s="110"/>
      <c r="J57" s="10"/>
      <c r="K57" s="10"/>
      <c r="L57" s="10"/>
    </row>
    <row r="58" spans="1:12" ht="12.75">
      <c r="A58" s="108"/>
      <c r="B58" s="148" t="s">
        <v>308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8"/>
      <c r="B59" s="148" t="s">
        <v>309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4" t="s">
        <v>277</v>
      </c>
      <c r="H62" s="155"/>
      <c r="I62" s="156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5"/>
      <c r="H63" s="13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aska@maraska.hr"/>
    <hyperlink ref="C20" r:id="rId2" display="www.maraska.hr"/>
    <hyperlink ref="C50" r:id="rId3" display="rajko.strenja@maras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3.7109375" style="52" bestFit="1" customWidth="1"/>
    <col min="12" max="16384" width="9.140625" style="52" customWidth="1"/>
  </cols>
  <sheetData>
    <row r="1" spans="1:11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340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339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59</v>
      </c>
      <c r="B4" s="213"/>
      <c r="C4" s="213"/>
      <c r="D4" s="213"/>
      <c r="E4" s="213"/>
      <c r="F4" s="213"/>
      <c r="G4" s="213"/>
      <c r="H4" s="214"/>
      <c r="I4" s="58" t="s">
        <v>278</v>
      </c>
      <c r="J4" s="59" t="s">
        <v>319</v>
      </c>
      <c r="K4" s="60" t="s">
        <v>320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7">
        <v>2</v>
      </c>
      <c r="J5" s="56">
        <v>3</v>
      </c>
      <c r="K5" s="56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3">
        <f>J9+J16+J26+J35+J39</f>
        <v>158532351.91</v>
      </c>
      <c r="K8" s="53">
        <f>K9+K16+K26+K35+K39</f>
        <v>116676974.10000001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/>
      <c r="K11" s="7"/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3">
        <f>SUM(J17:J25)</f>
        <v>119847297.16</v>
      </c>
      <c r="K16" s="53">
        <f>SUM(K17:K25)</f>
        <v>116587777.89000002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30056155.27</v>
      </c>
      <c r="K17" s="7">
        <v>30056155.27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27718655.379999995</v>
      </c>
      <c r="K18" s="7">
        <v>26289830.02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9430030.73999999</v>
      </c>
      <c r="K19" s="7">
        <v>11153499.46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4641544.950000001</v>
      </c>
      <c r="K20" s="7">
        <v>3874963.12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47989110.82</v>
      </c>
      <c r="K21" s="7">
        <v>45201530.02</v>
      </c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/>
      <c r="K23" s="7"/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11800</v>
      </c>
      <c r="K24" s="7">
        <v>11800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/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3">
        <f>SUM(J27:J34)</f>
        <v>38685054.75</v>
      </c>
      <c r="K26" s="53">
        <f>SUM(K27:K34)</f>
        <v>89196.21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/>
      <c r="K27" s="7"/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22000</v>
      </c>
      <c r="K29" s="7">
        <v>22000</v>
      </c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/>
      <c r="K32" s="7"/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38663054.75</v>
      </c>
      <c r="K33" s="7">
        <v>67196.21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53">
        <f>J41+J49+J56+J64</f>
        <v>87562418.12999998</v>
      </c>
      <c r="K40" s="53">
        <f>K41+K49+K56+K64</f>
        <v>89797043.84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3">
        <f>SUM(J42:J48)</f>
        <v>45793660.23</v>
      </c>
      <c r="K41" s="53">
        <f>SUM(K42:K48)</f>
        <v>45268765.04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14896993.37</v>
      </c>
      <c r="K42" s="7">
        <f>2435947.57+120998.5+9732710.59+823526.26+280596.88+1970755.7-1963644.74</f>
        <v>13400890.76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14343985.780000001</v>
      </c>
      <c r="K43" s="7">
        <f>6273174.74+13364917.83</f>
        <v>19638092.57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16382046.78</v>
      </c>
      <c r="K44" s="7">
        <f>8125493.89+291946.57+197448.07+3412067.75+34524.45+379.55</f>
        <v>12061860.28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170634.3</v>
      </c>
      <c r="K45" s="7">
        <v>167921.43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3">
        <f>SUM(J50:J55)</f>
        <v>40335578.099999994</v>
      </c>
      <c r="K49" s="53">
        <f>SUM(K50:K55)</f>
        <v>43714055.86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1187776</v>
      </c>
      <c r="K50" s="7">
        <v>2148352.63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38688788</v>
      </c>
      <c r="K51" s="7">
        <f>49690310.65-2148353+2439172.6-664549.31-8571843.78</f>
        <v>40744737.16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200942.8</v>
      </c>
      <c r="K53" s="7">
        <f>182091.8+500</f>
        <v>182591.8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f>257835.3+236</f>
        <v>258071.3</v>
      </c>
      <c r="K54" s="7">
        <f>589320.38-32034.85+81088.74</f>
        <v>638374.27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/>
      <c r="K55" s="7"/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3">
        <f>SUM(J57:J63)</f>
        <v>68386</v>
      </c>
      <c r="K56" s="53">
        <f>SUM(K57:K63)</f>
        <v>68386.39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30000</v>
      </c>
      <c r="K58" s="7">
        <v>30000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/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38386</v>
      </c>
      <c r="K62" s="7">
        <v>38386.39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1364793.8</v>
      </c>
      <c r="K64" s="7">
        <v>745836.55</v>
      </c>
    </row>
    <row r="65" spans="1:11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6119914.32</v>
      </c>
      <c r="K65" s="7">
        <f>813581.94+25457.24+1599.14+27056</f>
        <v>867694.32</v>
      </c>
    </row>
    <row r="66" spans="1:11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53">
        <f>J7+J8+J40+J65</f>
        <v>252214684.35999995</v>
      </c>
      <c r="K66" s="53">
        <f>K7+K8+K40+K65</f>
        <v>207341712.26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03"/>
      <c r="I69" s="3">
        <v>62</v>
      </c>
      <c r="J69" s="54">
        <f>J70+J71+J72+J78+J79+J82+J85</f>
        <v>60752864.4</v>
      </c>
      <c r="K69" s="54">
        <f>K70+K71+K72+K78+K79+K82+K85</f>
        <v>68420550.26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99918350</v>
      </c>
      <c r="K70" s="7">
        <v>99918350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/>
      <c r="K71" s="7"/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/>
      <c r="K73" s="7"/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/>
      <c r="K77" s="7"/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/>
      <c r="K78" s="7"/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3">
        <f>J80-J81</f>
        <v>-54664311</v>
      </c>
      <c r="K79" s="53">
        <f>K80-K81</f>
        <v>-53675788.5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/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54664311</v>
      </c>
      <c r="K81" s="7">
        <v>53675788.5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3">
        <f>SUM(J83:J84)</f>
        <v>15498825.4</v>
      </c>
      <c r="K82" s="53">
        <f>SUM(K83:K84)</f>
        <v>22177988.76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15498825.4</v>
      </c>
      <c r="K83" s="7">
        <v>22177988.76</v>
      </c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/>
      <c r="K89" s="7"/>
    </row>
    <row r="90" spans="1:11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3">
        <f>SUM(J91:J99)</f>
        <v>137788269.7</v>
      </c>
      <c r="K90" s="53">
        <f>SUM(K91:K99)</f>
        <v>94346252.72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67622513.83</v>
      </c>
      <c r="K91" s="7">
        <f>23219293.92+11354356.76</f>
        <v>34573650.68</v>
      </c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70165755.86999999</v>
      </c>
      <c r="K93" s="7">
        <v>59772602.04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3">
        <f>SUM(J101:J112)</f>
        <v>42300941.650000006</v>
      </c>
      <c r="K100" s="53">
        <f>SUM(K101:K112)</f>
        <v>44574909.14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6141359</v>
      </c>
      <c r="K101" s="7">
        <v>1842064.38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2186471.14</v>
      </c>
      <c r="K102" s="7">
        <v>1640718.32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784643.96</v>
      </c>
      <c r="K103" s="7">
        <f>3623569.5+2800161.28</f>
        <v>6423730.779999999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579394.25</v>
      </c>
      <c r="K104" s="7">
        <v>579394.25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24900180</v>
      </c>
      <c r="K105" s="7">
        <f>22592371.17-1842064+4874271.56</f>
        <v>25624578.73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815909.84</v>
      </c>
      <c r="K108" s="7">
        <f>64492.45+619326.1+61905</f>
        <v>745723.5499999999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6892983.46</v>
      </c>
      <c r="K109" s="7">
        <f>3698629.92+20025.57+726883.47+2493078.99+1169395.23+37.86-5804.02-574142.92+189860.31+734.72</f>
        <v>7718699.13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/>
      <c r="K112" s="7"/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11372607.87</v>
      </c>
      <c r="K113" s="7">
        <v>0</v>
      </c>
    </row>
    <row r="114" spans="1:11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3">
        <f>J69+J86+J90+J100+J113</f>
        <v>252214683.62</v>
      </c>
      <c r="K114" s="53">
        <f>K69+K86+K90+K100+K113</f>
        <v>207341712.12</v>
      </c>
    </row>
    <row r="115" spans="1:11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/>
      <c r="K115" s="8"/>
    </row>
    <row r="116" spans="1:11" ht="12.75">
      <c r="A116" s="221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5"/>
      <c r="J117" s="235"/>
      <c r="K117" s="236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ht="12.75">
      <c r="A120" s="240" t="s">
        <v>311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7" t="s">
        <v>154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51" t="s">
        <v>341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42" t="s">
        <v>339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59</v>
      </c>
      <c r="B4" s="243"/>
      <c r="C4" s="243"/>
      <c r="D4" s="243"/>
      <c r="E4" s="243"/>
      <c r="F4" s="243"/>
      <c r="G4" s="243"/>
      <c r="H4" s="243"/>
      <c r="I4" s="58" t="s">
        <v>279</v>
      </c>
      <c r="J4" s="244" t="s">
        <v>319</v>
      </c>
      <c r="K4" s="244"/>
      <c r="L4" s="244" t="s">
        <v>320</v>
      </c>
      <c r="M4" s="244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54">
        <f>SUM(J8:J9)</f>
        <v>124140404</v>
      </c>
      <c r="K7" s="54">
        <f>SUM(K8:K9)</f>
        <v>51483820</v>
      </c>
      <c r="L7" s="54">
        <f>SUM(L8:L9)</f>
        <v>121656077.11</v>
      </c>
      <c r="M7" s="54">
        <f>SUM(M8:M9)</f>
        <v>49136544.11</v>
      </c>
    </row>
    <row r="8" spans="1:13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f>K8+71546349</f>
        <v>122630873</v>
      </c>
      <c r="K8" s="7">
        <v>51084524</v>
      </c>
      <c r="L8" s="7">
        <f>72363462+M8</f>
        <v>121150203.27</v>
      </c>
      <c r="M8" s="7">
        <f>40852922.05+7064116.07+93796.61+116912.33+658994.21</f>
        <v>48786741.269999996</v>
      </c>
    </row>
    <row r="9" spans="1:13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f>K9+1110235</f>
        <v>1509531</v>
      </c>
      <c r="K9" s="7">
        <v>399296</v>
      </c>
      <c r="L9" s="7">
        <f>156071+M9</f>
        <v>505873.84</v>
      </c>
      <c r="M9" s="7">
        <f>345115.64+4687.2</f>
        <v>349802.84</v>
      </c>
    </row>
    <row r="10" spans="1:13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3">
        <f>J11+J12+J16+J20+J21+J22+J25+J26</f>
        <v>113724616</v>
      </c>
      <c r="K10" s="53">
        <f>K11+K12+K16+K20+K21+K22+K25+K26</f>
        <v>43870570</v>
      </c>
      <c r="L10" s="53">
        <f>L11+L12+L16+L20+L21+L22+L25+L26</f>
        <v>98250385.89999999</v>
      </c>
      <c r="M10" s="53">
        <f>M11+M12+M16+M20+M21+M22+M25+M26</f>
        <v>30560289.900000002</v>
      </c>
    </row>
    <row r="11" spans="1:13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f>K11-2980979</f>
        <v>-5917510</v>
      </c>
      <c r="K11" s="7">
        <v>-2936531</v>
      </c>
      <c r="L11" s="7">
        <f>-279997+M11</f>
        <v>-3727167.25</v>
      </c>
      <c r="M11" s="7">
        <f>-(27019495.85-23572325.6)</f>
        <v>-3447170.25</v>
      </c>
    </row>
    <row r="12" spans="1:13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3">
        <f>SUM(J13:J15)</f>
        <v>70568086</v>
      </c>
      <c r="K12" s="53">
        <f>SUM(K13:K15)</f>
        <v>29393686</v>
      </c>
      <c r="L12" s="53">
        <f>SUM(L13:L15)</f>
        <v>64401391.15</v>
      </c>
      <c r="M12" s="53">
        <f>SUM(M13:M15)</f>
        <v>25461625.150000002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f>K13+30062508</f>
        <v>50893397</v>
      </c>
      <c r="K13" s="7">
        <v>20830889</v>
      </c>
      <c r="L13" s="7">
        <f>30184915+M13</f>
        <v>49742803.269999996</v>
      </c>
      <c r="M13" s="7">
        <f>18645720.47+806166.25+93200.14+12801.41</f>
        <v>19557888.27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f>K14+404665</f>
        <v>586479</v>
      </c>
      <c r="K14" s="7">
        <v>181814</v>
      </c>
      <c r="L14" s="7">
        <f>237062+M14</f>
        <v>469312.20999999996</v>
      </c>
      <c r="M14" s="7">
        <v>232250.21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f>K15+10707227</f>
        <v>19088210</v>
      </c>
      <c r="K15" s="7">
        <v>8380983</v>
      </c>
      <c r="L15" s="7">
        <f>8517789+M15</f>
        <v>14189275.670000002</v>
      </c>
      <c r="M15" s="7">
        <f>510161.21+905832.93+173417.56+2675636.92+839709.44+434878.84+47661.69+84188.08</f>
        <v>5671486.670000001</v>
      </c>
    </row>
    <row r="16" spans="1:13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3">
        <f>SUM(J17:J19)</f>
        <v>10944688</v>
      </c>
      <c r="K16" s="53">
        <f>SUM(K17:K19)</f>
        <v>3890572</v>
      </c>
      <c r="L16" s="53">
        <f>SUM(L17:L19)</f>
        <v>10935738.469999999</v>
      </c>
      <c r="M16" s="53">
        <f>SUM(M17:M19)</f>
        <v>3868623.4699999997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f>K17+4854394</f>
        <v>7483226</v>
      </c>
      <c r="K17" s="7">
        <v>2628832</v>
      </c>
      <c r="L17" s="7">
        <f>4863597+M17</f>
        <v>7529144.029999999</v>
      </c>
      <c r="M17" s="7">
        <v>2665547.03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f>K18+1364469</f>
        <v>2150830</v>
      </c>
      <c r="K18" s="7">
        <v>786361</v>
      </c>
      <c r="L18" s="7">
        <f>1213834+M18</f>
        <v>1876169.44</v>
      </c>
      <c r="M18" s="7">
        <v>662335.44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f>K19+835253</f>
        <v>1310632</v>
      </c>
      <c r="K19" s="7">
        <v>475379</v>
      </c>
      <c r="L19" s="7">
        <f>989684+M19</f>
        <v>1530425</v>
      </c>
      <c r="M19" s="7">
        <v>540741</v>
      </c>
    </row>
    <row r="20" spans="1:13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f>K20+3754853</f>
        <v>5639789</v>
      </c>
      <c r="K20" s="7">
        <v>1884936</v>
      </c>
      <c r="L20" s="7">
        <f>3915838+M20</f>
        <v>5913172.22</v>
      </c>
      <c r="M20" s="7">
        <v>1997334.22</v>
      </c>
    </row>
    <row r="21" spans="1:13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f>K21+3249760</f>
        <v>5329353</v>
      </c>
      <c r="K21" s="7">
        <v>2079593</v>
      </c>
      <c r="L21" s="7">
        <f>4063316+M21</f>
        <v>6477367.209999999</v>
      </c>
      <c r="M21" s="7">
        <f>410485.81+767776.49+200844.14+669661.61+108.93+176041.06+65484.77+30000+93648.4</f>
        <v>2414051.2099999995</v>
      </c>
    </row>
    <row r="22" spans="1:13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/>
      <c r="K24" s="7"/>
      <c r="L24" s="7"/>
      <c r="M24" s="7"/>
    </row>
    <row r="25" spans="1:13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f>K26+17602626-730</f>
        <v>27160210</v>
      </c>
      <c r="K26" s="7">
        <v>9558314</v>
      </c>
      <c r="L26" s="7">
        <f>13984058+M26</f>
        <v>14249884.1</v>
      </c>
      <c r="M26" s="7">
        <f>23635.33+942.82+189240.78+58947.17-6940</f>
        <v>265826.1</v>
      </c>
    </row>
    <row r="27" spans="1:13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3">
        <f>SUM(J28:J32)</f>
        <v>1734878</v>
      </c>
      <c r="K27" s="53">
        <f>SUM(K28:K32)</f>
        <v>849619</v>
      </c>
      <c r="L27" s="53">
        <f>SUM(L28:L32)</f>
        <v>374880.03</v>
      </c>
      <c r="M27" s="53">
        <f>SUM(M28:M32)</f>
        <v>36670.03</v>
      </c>
    </row>
    <row r="28" spans="1:13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f>K28+242168</f>
        <v>969338</v>
      </c>
      <c r="K28" s="7">
        <v>727170</v>
      </c>
      <c r="L28" s="7">
        <f>294569+M28</f>
        <v>294569</v>
      </c>
      <c r="M28" s="7"/>
    </row>
    <row r="29" spans="1:13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f>K29+643091</f>
        <v>732167</v>
      </c>
      <c r="K29" s="7">
        <v>89076</v>
      </c>
      <c r="L29" s="7">
        <f>+M29</f>
        <v>3744.3999999999996</v>
      </c>
      <c r="M29" s="7">
        <f>12.06-861.35+4593.69</f>
        <v>3744.3999999999996</v>
      </c>
    </row>
    <row r="30" spans="1:13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f>K32</f>
        <v>33373</v>
      </c>
      <c r="K32" s="7">
        <v>33373</v>
      </c>
      <c r="L32" s="7">
        <f>43641+M32</f>
        <v>76566.63</v>
      </c>
      <c r="M32" s="7">
        <v>32925.63</v>
      </c>
    </row>
    <row r="33" spans="1:13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3">
        <f>SUM(J34:J37)</f>
        <v>4068674</v>
      </c>
      <c r="K33" s="53">
        <f>SUM(K34:K37)</f>
        <v>1570735</v>
      </c>
      <c r="L33" s="53">
        <f>SUM(L34:L37)</f>
        <v>15071826.329999998</v>
      </c>
      <c r="M33" s="53">
        <f>SUM(M34:M37)</f>
        <v>12274896.33</v>
      </c>
    </row>
    <row r="34" spans="1:13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f>K34+1509356</f>
        <v>2260871</v>
      </c>
      <c r="K34" s="7">
        <v>751515</v>
      </c>
      <c r="L34" s="7">
        <f>990918+M34</f>
        <v>1370922.01</v>
      </c>
      <c r="M34" s="7">
        <v>380004.01</v>
      </c>
    </row>
    <row r="35" spans="1:13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f>K35+899167</f>
        <v>1718387</v>
      </c>
      <c r="K35" s="7">
        <v>819220</v>
      </c>
      <c r="L35" s="7">
        <f>1812452+M35-6440</f>
        <v>2373926.96</v>
      </c>
      <c r="M35" s="7">
        <v>567914.96</v>
      </c>
    </row>
    <row r="36" spans="1:13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89416</v>
      </c>
      <c r="K37" s="7"/>
      <c r="L37" s="7">
        <f>+M37</f>
        <v>11326977.36</v>
      </c>
      <c r="M37" s="7">
        <f>9903517.56+1245240.21+178219.59</f>
        <v>11326977.36</v>
      </c>
    </row>
    <row r="38" spans="1:13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f>K40+7258888</f>
        <v>7416833</v>
      </c>
      <c r="K40" s="7">
        <v>157945</v>
      </c>
      <c r="L40" s="7">
        <f>13462953+M40</f>
        <v>13469244.58</v>
      </c>
      <c r="M40" s="7">
        <v>6291.58</v>
      </c>
    </row>
    <row r="41" spans="1:13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3">
        <f>J7+J27+J38+J40</f>
        <v>133292115</v>
      </c>
      <c r="K42" s="53">
        <f>K7+K27+K38+K40</f>
        <v>52491384</v>
      </c>
      <c r="L42" s="53">
        <f>L7+L27+L38+L40</f>
        <v>135500201.72</v>
      </c>
      <c r="M42" s="53">
        <f>M7+M27+M38+M40</f>
        <v>49179505.72</v>
      </c>
    </row>
    <row r="43" spans="1:13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3">
        <f>J10+J33+J39+J41</f>
        <v>117793290</v>
      </c>
      <c r="K43" s="53">
        <f>K10+K33+K39+K41</f>
        <v>45441305</v>
      </c>
      <c r="L43" s="53">
        <f>L10+L33+L39+L41</f>
        <v>113322212.22999999</v>
      </c>
      <c r="M43" s="53">
        <f>M10+M33+M39+M41</f>
        <v>42835186.230000004</v>
      </c>
    </row>
    <row r="44" spans="1:13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15498825</v>
      </c>
      <c r="K44" s="53">
        <f>K42-K43</f>
        <v>7050079</v>
      </c>
      <c r="L44" s="53">
        <f>L42-L43</f>
        <v>22177989.49000001</v>
      </c>
      <c r="M44" s="53">
        <f>M42-M43</f>
        <v>6344319.489999995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15498825</v>
      </c>
      <c r="K45" s="53">
        <f>IF(K42&gt;K43,K42-K43,0)</f>
        <v>7050079</v>
      </c>
      <c r="L45" s="53">
        <f>IF(L42&gt;L43,L42-L43,0)</f>
        <v>22177989.49000001</v>
      </c>
      <c r="M45" s="53">
        <f>IF(M42&gt;M43,M42-M43,0)</f>
        <v>6344319.489999995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15498825</v>
      </c>
      <c r="K48" s="53">
        <f>K44-K47</f>
        <v>7050079</v>
      </c>
      <c r="L48" s="53">
        <f>L44-L47</f>
        <v>22177989.49000001</v>
      </c>
      <c r="M48" s="53">
        <f>M44-M47</f>
        <v>6344319.489999995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15498825</v>
      </c>
      <c r="K49" s="53">
        <f>IF(K48&gt;0,K48,0)</f>
        <v>7050079</v>
      </c>
      <c r="L49" s="53">
        <f>IF(L48&gt;0,L48,0)</f>
        <v>22177989.49000001</v>
      </c>
      <c r="M49" s="53">
        <f>IF(M48&gt;0,M48,0)</f>
        <v>6344319.489999995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1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21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/>
      <c r="K56" s="6"/>
      <c r="L56" s="6"/>
      <c r="M56" s="6"/>
    </row>
    <row r="57" spans="1:13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2.75"/>
  <cols>
    <col min="1" max="7" width="9.140625" style="52" customWidth="1"/>
    <col min="8" max="8" width="4.7109375" style="52" customWidth="1"/>
    <col min="9" max="10" width="9.14062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8">
        <v>2</v>
      </c>
      <c r="J5" s="69" t="s">
        <v>283</v>
      </c>
      <c r="K5" s="69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6">
        <v>15498825</v>
      </c>
      <c r="K7" s="6">
        <v>22177989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5639789</v>
      </c>
      <c r="K8" s="7">
        <v>5913172.11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/>
      <c r="K12" s="7"/>
    </row>
    <row r="13" spans="1:11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64">
        <f>SUM(J7:J12)</f>
        <v>21138614</v>
      </c>
      <c r="K13" s="64">
        <f>SUM(K7:K12)</f>
        <v>28091161.11</v>
      </c>
    </row>
    <row r="14" spans="1:11" ht="12.75">
      <c r="A14" s="268" t="s">
        <v>52</v>
      </c>
      <c r="B14" s="269"/>
      <c r="C14" s="269"/>
      <c r="D14" s="269"/>
      <c r="E14" s="269"/>
      <c r="F14" s="269"/>
      <c r="G14" s="269"/>
      <c r="H14" s="269"/>
      <c r="I14" s="129">
        <v>8</v>
      </c>
      <c r="J14" s="128">
        <f>84383074+12719748-59782500</f>
        <v>37320322</v>
      </c>
      <c r="K14" s="128">
        <v>12850819.46</v>
      </c>
    </row>
    <row r="15" spans="1:11" ht="12.75">
      <c r="A15" s="268" t="s">
        <v>53</v>
      </c>
      <c r="B15" s="269"/>
      <c r="C15" s="269"/>
      <c r="D15" s="269"/>
      <c r="E15" s="269"/>
      <c r="F15" s="269"/>
      <c r="G15" s="269"/>
      <c r="H15" s="269"/>
      <c r="I15" s="129">
        <v>9</v>
      </c>
      <c r="J15" s="128">
        <f>12480668-181277+1139216</f>
        <v>13438607</v>
      </c>
      <c r="K15" s="128">
        <v>15712053.57</v>
      </c>
    </row>
    <row r="16" spans="1:11" ht="12.75">
      <c r="A16" s="268" t="s">
        <v>54</v>
      </c>
      <c r="B16" s="269"/>
      <c r="C16" s="269"/>
      <c r="D16" s="269"/>
      <c r="E16" s="269"/>
      <c r="F16" s="269"/>
      <c r="G16" s="269"/>
      <c r="H16" s="269"/>
      <c r="I16" s="129">
        <v>10</v>
      </c>
      <c r="J16" s="128">
        <v>5708217</v>
      </c>
      <c r="K16" s="128">
        <f>418769.87+3633931.54</f>
        <v>4052701.41</v>
      </c>
    </row>
    <row r="17" spans="1:11" ht="12.75">
      <c r="A17" s="268" t="s">
        <v>55</v>
      </c>
      <c r="B17" s="269"/>
      <c r="C17" s="269"/>
      <c r="D17" s="269"/>
      <c r="E17" s="269"/>
      <c r="F17" s="269"/>
      <c r="G17" s="269"/>
      <c r="H17" s="269"/>
      <c r="I17" s="129">
        <v>11</v>
      </c>
      <c r="J17" s="128">
        <f>181277+12719748+9274891</f>
        <v>22175916</v>
      </c>
      <c r="K17" s="128">
        <v>2748849.71</v>
      </c>
    </row>
    <row r="18" spans="1:11" ht="12.75">
      <c r="A18" s="270" t="s">
        <v>158</v>
      </c>
      <c r="B18" s="271"/>
      <c r="C18" s="271"/>
      <c r="D18" s="271"/>
      <c r="E18" s="271"/>
      <c r="F18" s="271"/>
      <c r="G18" s="271"/>
      <c r="H18" s="271"/>
      <c r="I18" s="129">
        <v>12</v>
      </c>
      <c r="J18" s="130">
        <f>SUM(J14:J17)</f>
        <v>78643062</v>
      </c>
      <c r="K18" s="130">
        <f>SUM(K14:K17)</f>
        <v>35364424.15</v>
      </c>
    </row>
    <row r="19" spans="1:11" ht="12.75">
      <c r="A19" s="270" t="s">
        <v>36</v>
      </c>
      <c r="B19" s="271"/>
      <c r="C19" s="271"/>
      <c r="D19" s="271"/>
      <c r="E19" s="271"/>
      <c r="F19" s="271"/>
      <c r="G19" s="271"/>
      <c r="H19" s="271"/>
      <c r="I19" s="129">
        <v>13</v>
      </c>
      <c r="J19" s="130">
        <f>IF(J13&gt;J18,J13-J18,0)</f>
        <v>0</v>
      </c>
      <c r="K19" s="130">
        <f>IF(K13&gt;K18,K13-K18,0)</f>
        <v>0</v>
      </c>
    </row>
    <row r="20" spans="1:11" ht="12.75">
      <c r="A20" s="270" t="s">
        <v>37</v>
      </c>
      <c r="B20" s="271"/>
      <c r="C20" s="271"/>
      <c r="D20" s="271"/>
      <c r="E20" s="271"/>
      <c r="F20" s="271"/>
      <c r="G20" s="271"/>
      <c r="H20" s="271"/>
      <c r="I20" s="129">
        <v>14</v>
      </c>
      <c r="J20" s="130">
        <f>IF(J18&gt;J13,J18-J13,0)</f>
        <v>57504448</v>
      </c>
      <c r="K20" s="130">
        <f>IF(K18&gt;K13,K18-K13,0)</f>
        <v>7273263.039999999</v>
      </c>
    </row>
    <row r="21" spans="1:11" ht="12.75">
      <c r="A21" s="272" t="s">
        <v>159</v>
      </c>
      <c r="B21" s="273"/>
      <c r="C21" s="273"/>
      <c r="D21" s="273"/>
      <c r="E21" s="273"/>
      <c r="F21" s="273"/>
      <c r="G21" s="273"/>
      <c r="H21" s="273"/>
      <c r="I21" s="274"/>
      <c r="J21" s="274"/>
      <c r="K21" s="275"/>
    </row>
    <row r="22" spans="1:11" ht="12.75">
      <c r="A22" s="268" t="s">
        <v>178</v>
      </c>
      <c r="B22" s="269"/>
      <c r="C22" s="269"/>
      <c r="D22" s="269"/>
      <c r="E22" s="269"/>
      <c r="F22" s="269"/>
      <c r="G22" s="269"/>
      <c r="H22" s="269"/>
      <c r="I22" s="129">
        <v>15</v>
      </c>
      <c r="J22" s="131">
        <v>0</v>
      </c>
      <c r="K22" s="128"/>
    </row>
    <row r="23" spans="1:11" ht="12.75">
      <c r="A23" s="268" t="s">
        <v>179</v>
      </c>
      <c r="B23" s="269"/>
      <c r="C23" s="269"/>
      <c r="D23" s="269"/>
      <c r="E23" s="269"/>
      <c r="F23" s="269"/>
      <c r="G23" s="269"/>
      <c r="H23" s="269"/>
      <c r="I23" s="129">
        <v>16</v>
      </c>
      <c r="J23" s="131"/>
      <c r="K23" s="128"/>
    </row>
    <row r="24" spans="1:11" ht="12.75">
      <c r="A24" s="268" t="s">
        <v>180</v>
      </c>
      <c r="B24" s="269"/>
      <c r="C24" s="269"/>
      <c r="D24" s="269"/>
      <c r="E24" s="269"/>
      <c r="F24" s="269"/>
      <c r="G24" s="269"/>
      <c r="H24" s="269"/>
      <c r="I24" s="129">
        <v>17</v>
      </c>
      <c r="J24" s="131"/>
      <c r="K24" s="128"/>
    </row>
    <row r="25" spans="1:11" ht="12.75">
      <c r="A25" s="268" t="s">
        <v>181</v>
      </c>
      <c r="B25" s="269"/>
      <c r="C25" s="269"/>
      <c r="D25" s="269"/>
      <c r="E25" s="269"/>
      <c r="F25" s="269"/>
      <c r="G25" s="269"/>
      <c r="H25" s="269"/>
      <c r="I25" s="129">
        <v>18</v>
      </c>
      <c r="J25" s="131"/>
      <c r="K25" s="128"/>
    </row>
    <row r="26" spans="1:11" ht="12.75">
      <c r="A26" s="268" t="s">
        <v>182</v>
      </c>
      <c r="B26" s="269"/>
      <c r="C26" s="269"/>
      <c r="D26" s="269"/>
      <c r="E26" s="269"/>
      <c r="F26" s="269"/>
      <c r="G26" s="269"/>
      <c r="H26" s="269"/>
      <c r="I26" s="129">
        <v>19</v>
      </c>
      <c r="J26" s="131"/>
      <c r="K26" s="128"/>
    </row>
    <row r="27" spans="1:11" ht="12.75">
      <c r="A27" s="270" t="s">
        <v>168</v>
      </c>
      <c r="B27" s="271"/>
      <c r="C27" s="271"/>
      <c r="D27" s="271"/>
      <c r="E27" s="271"/>
      <c r="F27" s="271"/>
      <c r="G27" s="271"/>
      <c r="H27" s="271"/>
      <c r="I27" s="129">
        <v>20</v>
      </c>
      <c r="J27" s="130">
        <f>SUM(J22:J26)</f>
        <v>0</v>
      </c>
      <c r="K27" s="130">
        <f>SUM(K22:K26)</f>
        <v>0</v>
      </c>
    </row>
    <row r="28" spans="1:11" ht="12.75">
      <c r="A28" s="268" t="s">
        <v>115</v>
      </c>
      <c r="B28" s="269"/>
      <c r="C28" s="269"/>
      <c r="D28" s="269"/>
      <c r="E28" s="269"/>
      <c r="F28" s="269"/>
      <c r="G28" s="269"/>
      <c r="H28" s="269"/>
      <c r="I28" s="129">
        <v>21</v>
      </c>
      <c r="J28" s="128">
        <v>1138836</v>
      </c>
      <c r="K28" s="128">
        <v>1484763.54</v>
      </c>
    </row>
    <row r="29" spans="1:11" ht="12.75">
      <c r="A29" s="268" t="s">
        <v>116</v>
      </c>
      <c r="B29" s="269"/>
      <c r="C29" s="269"/>
      <c r="D29" s="269"/>
      <c r="E29" s="269"/>
      <c r="F29" s="269"/>
      <c r="G29" s="269"/>
      <c r="H29" s="269"/>
      <c r="I29" s="129">
        <v>22</v>
      </c>
      <c r="J29" s="131"/>
      <c r="K29" s="128"/>
    </row>
    <row r="30" spans="1:11" ht="12.75">
      <c r="A30" s="268" t="s">
        <v>16</v>
      </c>
      <c r="B30" s="269"/>
      <c r="C30" s="269"/>
      <c r="D30" s="269"/>
      <c r="E30" s="269"/>
      <c r="F30" s="269"/>
      <c r="G30" s="269"/>
      <c r="H30" s="269"/>
      <c r="I30" s="129">
        <v>23</v>
      </c>
      <c r="J30" s="131"/>
      <c r="K30" s="128"/>
    </row>
    <row r="31" spans="1:11" ht="12.75">
      <c r="A31" s="270" t="s">
        <v>5</v>
      </c>
      <c r="B31" s="271"/>
      <c r="C31" s="271"/>
      <c r="D31" s="271"/>
      <c r="E31" s="271"/>
      <c r="F31" s="271"/>
      <c r="G31" s="271"/>
      <c r="H31" s="271"/>
      <c r="I31" s="129">
        <v>24</v>
      </c>
      <c r="J31" s="130">
        <f>SUM(J28:J30)</f>
        <v>1138836</v>
      </c>
      <c r="K31" s="130">
        <f>SUM(K28:K30)</f>
        <v>1484763.54</v>
      </c>
    </row>
    <row r="32" spans="1:11" ht="12.75">
      <c r="A32" s="270" t="s">
        <v>38</v>
      </c>
      <c r="B32" s="271"/>
      <c r="C32" s="271"/>
      <c r="D32" s="271"/>
      <c r="E32" s="271"/>
      <c r="F32" s="271"/>
      <c r="G32" s="271"/>
      <c r="H32" s="271"/>
      <c r="I32" s="129">
        <v>25</v>
      </c>
      <c r="J32" s="130">
        <f>IF(J27&gt;J31,J27-J31,0)</f>
        <v>0</v>
      </c>
      <c r="K32" s="130">
        <f>IF(K27&gt;K31,K27-K31,0)</f>
        <v>0</v>
      </c>
    </row>
    <row r="33" spans="1:11" ht="12.75">
      <c r="A33" s="270" t="s">
        <v>39</v>
      </c>
      <c r="B33" s="271"/>
      <c r="C33" s="271"/>
      <c r="D33" s="271"/>
      <c r="E33" s="271"/>
      <c r="F33" s="271"/>
      <c r="G33" s="271"/>
      <c r="H33" s="271"/>
      <c r="I33" s="129">
        <v>26</v>
      </c>
      <c r="J33" s="130">
        <f>IF(J31&gt;J27,J31-J27,0)</f>
        <v>1138836</v>
      </c>
      <c r="K33" s="130">
        <f>IF(K31&gt;K27,K31-K27,0)</f>
        <v>1484763.54</v>
      </c>
    </row>
    <row r="34" spans="1:11" ht="12.75">
      <c r="A34" s="272" t="s">
        <v>160</v>
      </c>
      <c r="B34" s="273"/>
      <c r="C34" s="273"/>
      <c r="D34" s="273"/>
      <c r="E34" s="273"/>
      <c r="F34" s="273"/>
      <c r="G34" s="273"/>
      <c r="H34" s="273"/>
      <c r="I34" s="274"/>
      <c r="J34" s="274"/>
      <c r="K34" s="275"/>
    </row>
    <row r="35" spans="1:11" ht="12.75">
      <c r="A35" s="268" t="s">
        <v>174</v>
      </c>
      <c r="B35" s="269"/>
      <c r="C35" s="269"/>
      <c r="D35" s="269"/>
      <c r="E35" s="269"/>
      <c r="F35" s="269"/>
      <c r="G35" s="269"/>
      <c r="H35" s="269"/>
      <c r="I35" s="129">
        <v>27</v>
      </c>
      <c r="J35" s="131"/>
      <c r="K35" s="128"/>
    </row>
    <row r="36" spans="1:11" ht="12.75">
      <c r="A36" s="268" t="s">
        <v>29</v>
      </c>
      <c r="B36" s="269"/>
      <c r="C36" s="269"/>
      <c r="D36" s="269"/>
      <c r="E36" s="269"/>
      <c r="F36" s="269"/>
      <c r="G36" s="269"/>
      <c r="H36" s="269"/>
      <c r="I36" s="129">
        <v>28</v>
      </c>
      <c r="J36" s="128">
        <v>59782500</v>
      </c>
      <c r="K36" s="128">
        <v>10000000</v>
      </c>
    </row>
    <row r="37" spans="1:11" ht="12.75">
      <c r="A37" s="268" t="s">
        <v>30</v>
      </c>
      <c r="B37" s="269"/>
      <c r="C37" s="269"/>
      <c r="D37" s="269"/>
      <c r="E37" s="269"/>
      <c r="F37" s="269"/>
      <c r="G37" s="269"/>
      <c r="H37" s="269"/>
      <c r="I37" s="129">
        <v>29</v>
      </c>
      <c r="J37" s="131"/>
      <c r="K37" s="128"/>
    </row>
    <row r="38" spans="1:11" ht="12.75">
      <c r="A38" s="270" t="s">
        <v>68</v>
      </c>
      <c r="B38" s="271"/>
      <c r="C38" s="271"/>
      <c r="D38" s="271"/>
      <c r="E38" s="271"/>
      <c r="F38" s="271"/>
      <c r="G38" s="271"/>
      <c r="H38" s="271"/>
      <c r="I38" s="129">
        <v>30</v>
      </c>
      <c r="J38" s="130">
        <f>SUM(J35:J37)</f>
        <v>59782500</v>
      </c>
      <c r="K38" s="130">
        <f>SUM(K35:K37)</f>
        <v>10000000</v>
      </c>
    </row>
    <row r="39" spans="1:11" ht="12.75">
      <c r="A39" s="268" t="s">
        <v>31</v>
      </c>
      <c r="B39" s="269"/>
      <c r="C39" s="269"/>
      <c r="D39" s="269"/>
      <c r="E39" s="269"/>
      <c r="F39" s="269"/>
      <c r="G39" s="269"/>
      <c r="H39" s="269"/>
      <c r="I39" s="129">
        <v>31</v>
      </c>
      <c r="J39" s="128">
        <f>41865979</f>
        <v>41865979</v>
      </c>
      <c r="K39" s="128">
        <f>7493128.93+33035696.25+10013166.9</f>
        <v>50541992.08</v>
      </c>
    </row>
    <row r="40" spans="1:11" ht="12.75">
      <c r="A40" s="268" t="s">
        <v>32</v>
      </c>
      <c r="B40" s="269"/>
      <c r="C40" s="269"/>
      <c r="D40" s="269"/>
      <c r="E40" s="269"/>
      <c r="F40" s="269"/>
      <c r="G40" s="269"/>
      <c r="H40" s="269"/>
      <c r="I40" s="129">
        <v>32</v>
      </c>
      <c r="J40" s="131"/>
      <c r="K40" s="128"/>
    </row>
    <row r="41" spans="1:11" ht="12.75">
      <c r="A41" s="268" t="s">
        <v>33</v>
      </c>
      <c r="B41" s="269"/>
      <c r="C41" s="269"/>
      <c r="D41" s="269"/>
      <c r="E41" s="269"/>
      <c r="F41" s="269"/>
      <c r="G41" s="269"/>
      <c r="H41" s="269"/>
      <c r="I41" s="129">
        <v>33</v>
      </c>
      <c r="J41" s="131"/>
      <c r="K41" s="128"/>
    </row>
    <row r="42" spans="1:11" ht="12.75">
      <c r="A42" s="268" t="s">
        <v>34</v>
      </c>
      <c r="B42" s="269"/>
      <c r="C42" s="269"/>
      <c r="D42" s="269"/>
      <c r="E42" s="269"/>
      <c r="F42" s="269"/>
      <c r="G42" s="269"/>
      <c r="H42" s="269"/>
      <c r="I42" s="129">
        <v>34</v>
      </c>
      <c r="J42" s="131"/>
      <c r="K42" s="128"/>
    </row>
    <row r="43" spans="1:11" ht="12.75">
      <c r="A43" s="268" t="s">
        <v>35</v>
      </c>
      <c r="B43" s="269"/>
      <c r="C43" s="269"/>
      <c r="D43" s="269"/>
      <c r="E43" s="269"/>
      <c r="F43" s="269"/>
      <c r="G43" s="269"/>
      <c r="H43" s="269"/>
      <c r="I43" s="129">
        <v>35</v>
      </c>
      <c r="J43" s="131"/>
      <c r="K43" s="128"/>
    </row>
    <row r="44" spans="1:11" ht="12.75">
      <c r="A44" s="270" t="s">
        <v>69</v>
      </c>
      <c r="B44" s="271"/>
      <c r="C44" s="271"/>
      <c r="D44" s="271"/>
      <c r="E44" s="271"/>
      <c r="F44" s="271"/>
      <c r="G44" s="271"/>
      <c r="H44" s="271"/>
      <c r="I44" s="129">
        <v>36</v>
      </c>
      <c r="J44" s="130">
        <f>SUM(J39:J43)</f>
        <v>41865979</v>
      </c>
      <c r="K44" s="130">
        <f>SUM(K39:K43)</f>
        <v>50541992.08</v>
      </c>
    </row>
    <row r="45" spans="1:11" ht="12.75">
      <c r="A45" s="270" t="s">
        <v>17</v>
      </c>
      <c r="B45" s="271"/>
      <c r="C45" s="271"/>
      <c r="D45" s="271"/>
      <c r="E45" s="271"/>
      <c r="F45" s="271"/>
      <c r="G45" s="271"/>
      <c r="H45" s="271"/>
      <c r="I45" s="129">
        <v>37</v>
      </c>
      <c r="J45" s="130">
        <f>IF(J38&gt;J44,J38-J44,0)</f>
        <v>17916521</v>
      </c>
      <c r="K45" s="130">
        <f>IF(K38&gt;K44,K38-K44,0)</f>
        <v>0</v>
      </c>
    </row>
    <row r="46" spans="1:11" ht="12.75">
      <c r="A46" s="270" t="s">
        <v>18</v>
      </c>
      <c r="B46" s="271"/>
      <c r="C46" s="271"/>
      <c r="D46" s="271"/>
      <c r="E46" s="271"/>
      <c r="F46" s="271"/>
      <c r="G46" s="271"/>
      <c r="H46" s="271"/>
      <c r="I46" s="129">
        <v>38</v>
      </c>
      <c r="J46" s="130">
        <f>IF(J44&gt;J38,J44-J38,0)</f>
        <v>0</v>
      </c>
      <c r="K46" s="130">
        <f>IF(K44&gt;K38,K44-K38,0)</f>
        <v>40541992.08</v>
      </c>
    </row>
    <row r="47" spans="1:11" ht="12.75">
      <c r="A47" s="268" t="s">
        <v>70</v>
      </c>
      <c r="B47" s="269"/>
      <c r="C47" s="269"/>
      <c r="D47" s="269"/>
      <c r="E47" s="269"/>
      <c r="F47" s="269"/>
      <c r="G47" s="269"/>
      <c r="H47" s="269"/>
      <c r="I47" s="129">
        <v>39</v>
      </c>
      <c r="J47" s="130">
        <f>IF(J19-J20+J32-J33+J45-J46&gt;0,J19-J20+J32-J33+J45-J46,0)</f>
        <v>0</v>
      </c>
      <c r="K47" s="130">
        <f>IF(K19-K20+K32-K33+K45-K46&gt;0,K19-K20+K32-K33+K45-K46,0)</f>
        <v>0</v>
      </c>
    </row>
    <row r="48" spans="1:11" ht="12.75">
      <c r="A48" s="268" t="s">
        <v>71</v>
      </c>
      <c r="B48" s="269"/>
      <c r="C48" s="269"/>
      <c r="D48" s="269"/>
      <c r="E48" s="269"/>
      <c r="F48" s="269"/>
      <c r="G48" s="269"/>
      <c r="H48" s="269"/>
      <c r="I48" s="129">
        <v>40</v>
      </c>
      <c r="J48" s="130">
        <f>IF(J20-J19+J33-J32+J46-J45&gt;0,J20-J19+J33-J32+J46-J45,0)</f>
        <v>40726763</v>
      </c>
      <c r="K48" s="130">
        <f>IF(K20-K19+K33-K32+K46-K45&gt;0,K20-K19+K33-K32+K46-K45,0)</f>
        <v>49300018.66</v>
      </c>
    </row>
    <row r="49" spans="1:11" ht="12.75">
      <c r="A49" s="268" t="s">
        <v>161</v>
      </c>
      <c r="B49" s="269"/>
      <c r="C49" s="269"/>
      <c r="D49" s="269"/>
      <c r="E49" s="269"/>
      <c r="F49" s="269"/>
      <c r="G49" s="269"/>
      <c r="H49" s="269"/>
      <c r="I49" s="129">
        <v>41</v>
      </c>
      <c r="J49" s="128">
        <v>225577.34</v>
      </c>
      <c r="K49" s="128">
        <v>151253.25</v>
      </c>
    </row>
    <row r="50" spans="1:11" ht="12.75">
      <c r="A50" s="268" t="s">
        <v>175</v>
      </c>
      <c r="B50" s="269"/>
      <c r="C50" s="269"/>
      <c r="D50" s="269"/>
      <c r="E50" s="269"/>
      <c r="F50" s="269"/>
      <c r="G50" s="269"/>
      <c r="H50" s="269"/>
      <c r="I50" s="129">
        <v>42</v>
      </c>
      <c r="J50" s="128">
        <v>1139216</v>
      </c>
      <c r="K50" s="128">
        <v>594583.3</v>
      </c>
    </row>
    <row r="51" spans="1:11" ht="12.75">
      <c r="A51" s="268" t="s">
        <v>176</v>
      </c>
      <c r="B51" s="269"/>
      <c r="C51" s="269"/>
      <c r="D51" s="269"/>
      <c r="E51" s="269"/>
      <c r="F51" s="269"/>
      <c r="G51" s="269"/>
      <c r="H51" s="269"/>
      <c r="I51" s="129">
        <v>43</v>
      </c>
      <c r="J51" s="128"/>
      <c r="K51" s="128"/>
    </row>
    <row r="52" spans="1:11" ht="12.75">
      <c r="A52" s="276" t="s">
        <v>177</v>
      </c>
      <c r="B52" s="277"/>
      <c r="C52" s="277"/>
      <c r="D52" s="277"/>
      <c r="E52" s="277"/>
      <c r="F52" s="277"/>
      <c r="G52" s="277"/>
      <c r="H52" s="277"/>
      <c r="I52" s="132">
        <v>44</v>
      </c>
      <c r="J52" s="133">
        <f>J49+J50-J51</f>
        <v>1364793.34</v>
      </c>
      <c r="K52" s="134">
        <f>K49+K50-K51</f>
        <v>745836.55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9" sqref="J1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283</v>
      </c>
      <c r="K5" s="73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1" t="s">
        <v>159</v>
      </c>
      <c r="B22" s="232"/>
      <c r="C22" s="232"/>
      <c r="D22" s="232"/>
      <c r="E22" s="232"/>
      <c r="F22" s="232"/>
      <c r="G22" s="232"/>
      <c r="H22" s="232"/>
      <c r="I22" s="266"/>
      <c r="J22" s="266"/>
      <c r="K22" s="267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1" t="s">
        <v>160</v>
      </c>
      <c r="B35" s="232"/>
      <c r="C35" s="232"/>
      <c r="D35" s="232"/>
      <c r="E35" s="232"/>
      <c r="F35" s="232"/>
      <c r="G35" s="232"/>
      <c r="H35" s="232"/>
      <c r="I35" s="266">
        <v>0</v>
      </c>
      <c r="J35" s="266"/>
      <c r="K35" s="267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" sqref="A2:D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5"/>
    </row>
    <row r="2" spans="1:12" ht="15.75">
      <c r="A2" s="42"/>
      <c r="B2" s="74"/>
      <c r="C2" s="301" t="s">
        <v>282</v>
      </c>
      <c r="D2" s="301"/>
      <c r="E2" s="77" t="s">
        <v>324</v>
      </c>
      <c r="F2" s="43" t="s">
        <v>250</v>
      </c>
      <c r="G2" s="302" t="s">
        <v>323</v>
      </c>
      <c r="H2" s="303"/>
      <c r="I2" s="74"/>
      <c r="J2" s="74"/>
      <c r="K2" s="74"/>
      <c r="L2" s="78"/>
    </row>
    <row r="3" spans="1:11" ht="23.25">
      <c r="A3" s="304" t="s">
        <v>59</v>
      </c>
      <c r="B3" s="304"/>
      <c r="C3" s="304"/>
      <c r="D3" s="304"/>
      <c r="E3" s="304"/>
      <c r="F3" s="304"/>
      <c r="G3" s="304"/>
      <c r="H3" s="304"/>
      <c r="I3" s="81" t="s">
        <v>305</v>
      </c>
      <c r="J3" s="82" t="s">
        <v>150</v>
      </c>
      <c r="K3" s="82" t="s">
        <v>151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84">
        <v>2</v>
      </c>
      <c r="J4" s="83" t="s">
        <v>283</v>
      </c>
      <c r="K4" s="83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45">
        <v>99918350</v>
      </c>
      <c r="K5" s="45">
        <v>99918350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46"/>
      <c r="K6" s="46"/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46"/>
      <c r="K7" s="46"/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46">
        <v>-54664310.85</v>
      </c>
      <c r="K8" s="46">
        <v>-53675788.5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46">
        <v>15498825.4</v>
      </c>
      <c r="K9" s="46">
        <v>22177988.76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46"/>
      <c r="K10" s="46"/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46"/>
      <c r="K11" s="46"/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46"/>
      <c r="K12" s="46"/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46"/>
      <c r="K13" s="46"/>
    </row>
    <row r="14" spans="1:11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79">
        <f>SUM(J5:J13)</f>
        <v>60752864.55</v>
      </c>
      <c r="K14" s="79">
        <f>SUM(K5:K13)</f>
        <v>68420550.26</v>
      </c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46"/>
      <c r="K15" s="46"/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/>
      <c r="K16" s="46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/>
      <c r="K17" s="46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/>
      <c r="K18" s="46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/>
      <c r="K19" s="46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/>
      <c r="K20" s="46"/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/>
      <c r="K23" s="45"/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80"/>
      <c r="K24" s="80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6" t="s">
        <v>280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7" t="s">
        <v>316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</cp:lastModifiedBy>
  <cp:lastPrinted>2018-10-31T15:38:55Z</cp:lastPrinted>
  <dcterms:created xsi:type="dcterms:W3CDTF">2008-10-17T11:51:54Z</dcterms:created>
  <dcterms:modified xsi:type="dcterms:W3CDTF">2018-10-31T15:39:10Z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