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<sst xmlns="http://schemas.openxmlformats.org/spreadsheetml/2006/main" count="394" uniqueCount="341">
  <si>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</si>
  <si>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</si>
  <si>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</si>
  <si>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</si>
  <si>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</si>
  <si>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</si>
  <si>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</si>
  <si>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</si>
  <si>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</si>
  <si>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</si>
  <si>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</si>
  <si>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</si>
  <si>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</si>
  <si>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</si>
  <si>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</si>
  <si>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</si>
  <si>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</si>
  <si>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</si>
  <si>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</si>
  <si>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</si>
  <si>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</si>
  <si>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</si>
  <si>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</si>
  <si>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</si>
  <si>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</si>
  <si>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</si>
  <si>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</si>
  <si>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</si>
  <si>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</si>
  <si>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</si>
  <si>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</si>
  <si>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</si>
  <si>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</si>
  <si>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</si>
  <si>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</si>
  <si>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</si>
  <si>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</si>
  <si>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</si>
  <si>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</si>
  <si>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</si>
  <si>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</si>
  <si>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</si>
  <si>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</si>
  <si>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</si>
  <si>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</si>
  <si>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</si>
  <si>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</si>
  <si>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</si>
  <si>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</si>
  <si>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</si>
  <si>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</si>
  <si>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</si>
  <si>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</si>
  <si>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</si>
  <si>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</si>
  <si>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</si>
  <si>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</si>
  <si>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</si>
  <si>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</si>
  <si>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</si>
  <si>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</si>
  <si>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</si>
  <si>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</si>
  <si>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</si>
  <si>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</si>
  <si>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</si>
  <si>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</si>
  <si>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</si>
  <si>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</si>
  <si>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</si>
  <si>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</si>
  <si>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</si>
  <si>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</si>
  <si>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</si>
  <si>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</si>
  <si>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</si>
  <si>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</si>
  <si>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</si>
  <si>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</si>
  <si>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</si>
  <si>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</si>
  <si>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</si>
  <si>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</si>
  <si>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</si>
  <si>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</si>
  <si>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</si>
  <si>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</si>
  <si>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</si>
  <si>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</si>
  <si>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</si>
  <si>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</si>
  <si>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</si>
  <si>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</si>
  <si>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</si>
  <si>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</si>
  <si>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</si>
  <si>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</si>
  <si>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</si>
  <si>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</si>
  <si>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</si>
  <si>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</si>
  <si>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</si>
  <si>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</si>
  <si>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</si>
  <si>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</si>
  <si>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</si>
  <si>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</si>
  <si>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</si>
  <si>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</si>
  <si>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</si>
  <si>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</si>
  <si>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</si>
  <si>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</si>
  <si>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</si>
  <si>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</si>
  <si>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</si>
  <si>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</si>
  <si>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</si>
  <si>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</si>
  <si>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</si>
  <si>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</si>
  <si>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</si>
  <si>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</si>
  <si>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</si>
  <si>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</si>
  <si>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</si>
  <si>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</si>
  <si>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</si>
  <si>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</si>
  <si>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</si>
  <si>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</si>
  <si>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</si>
  <si>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</si>
  <si>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</si>
  <si>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</si>
  <si>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</si>
  <si>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</si>
  <si>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</si>
  <si>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</si>
  <si>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</si>
  <si>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</si>
  <si>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</si>
  <si>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</si>
  <si>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</si>
  <si>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</si>
  <si>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</si>
  <si>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</si>
  <si>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</si>
  <si>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</si>
  <si>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</si>
  <si>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</si>
  <si>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</si>
  <si>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</si>
  <si>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</si>
  <si>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</si>
  <si>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</si>
  <si>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</si>
  <si>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</si>
  <si>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</si>
  <si>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</si>
  <si>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</si>
  <si>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</si>
  <si>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</si>
  <si>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</si>
  <si>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</si>
  <si>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</si>
  <si>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</si>
  <si>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</si>
  <si>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</si>
  <si>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</si>
  <si>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</si>
  <si>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</si>
  <si>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</si>
  <si>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</si>
  <si>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</si>
  <si>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</si>
  <si>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</si>
  <si>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</si>
  <si>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</si>
  <si>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</si>
  <si>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</si>
  <si>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</si>
  <si>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</si>
  <si>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</si>
  <si>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</si>
  <si>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</si>
  <si>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</si>
  <si>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</si>
  <si>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</si>
  <si>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</si>
  <si>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</si>
  <si>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</si>
  <si>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</si>
  <si>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</si>
  <si>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</si>
  <si>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</si>
  <si>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</si>
  <si>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</si>
  <si>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</si>
  <si>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</si>
  <si>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</si>
  <si>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</si>
  <si>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</si>
  <si>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</si>
  <si>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</si>
  <si>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</si>
  <si>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</si>
  <si>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</si>
  <si>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</si>
  <si>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</si>
  <si>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</si>
  <si>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</si>
  <si>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</si>
  <si>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</si>
  <si>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</si>
  <si>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</si>
  <si>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</si>
  <si>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</si>
  <si>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</si>
  <si>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</si>
  <si>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</si>
  <si>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</si>
  <si>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</si>
  <si>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</si>
  <si>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</si>
  <si>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</si>
  <si>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</si>
  <si>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</si>
  <si>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</si>
  <si>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</si>
  <si>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</si>
  <si>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</si>
  <si>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</si>
  <si>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</si>
  <si>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</si>
  <si>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</si>
  <si>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</si>
  <si>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</si>
  <si>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</si>
  <si>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</si>
  <si>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</si>
  <si>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</si>
  <si>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</si>
  <si>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</si>
  <si>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</si>
  <si>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</si>
  <si>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</si>
  <si>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</si>
  <si>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</si>
  <si>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</si>
  <si>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</si>
  <si>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</si>
  <si>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</si>
  <si>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</si>
  <si>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</si>
  <si>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</si>
  <si>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</si>
  <si>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</si>
  <si>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</si>
  <si>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</si>
  <si>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</si>
  <si>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</si>
  <si>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</si>
  <si>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</si>
  <si>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</si>
  <si>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</si>
  <si>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</si>
  <si>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</si>
  <si>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</si>
  <si>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</si>
  <si>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</si>
  <si>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</si>
  <si>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</si>
  <si>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</si>
  <si>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</si>
  <si>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</si>
  <si>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</si>
  <si>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</si>
  <si>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</si>
  <si>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</si>
  <si>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</si>
  <si>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</si>
  <si>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</si>
  <si>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</si>
  <si>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</si>
  <si>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</si>
  <si>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</si>
  <si>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</si>
  <si>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</si>
  <si>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</si>
  <si>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</si>
  <si>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</si>
  <si>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</si>
  <si>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</si>
  <si>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</si>
  <si>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</si>
  <si>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</si>
  <si>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</si>
  <si>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</si>
  <si>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</si>
  <si>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</si>
  <si>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</si>
  <si>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</si>
  <si>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</si>
  <si>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</si>
  <si>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</si>
  <si>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</si>
  <si>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</si>
  <si>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</si>
  <si>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</si>
  <si>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</si>
  <si>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</si>
  <si>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</si>
  <si>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</si>
  <si>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</si>
  <si>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</si>
  <si>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</si>
  <si>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</si>
  <si>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</si>
  <si>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</si>
  <si>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</si>
  <si>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</si>
  <si>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</si>
  <si>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</si>
  <si>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</si>
  <si>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</si>
  <si>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</si>
  <si>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</si>
  <si>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</si>
  <si>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</si>
  <si>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</si>
  <si>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</si>
  <si>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1101</t>
  </si>
  <si>
    <t>NE</t>
  </si>
  <si>
    <t>Obveznik: MARASKA D.D.</t>
  </si>
  <si>
    <t>STIPE BEVANDA, ČLAN UPRAVE</t>
  </si>
  <si>
    <t>Željka Smoljan Komać</t>
  </si>
  <si>
    <t>zeljka.smoljan@maraska.hr</t>
  </si>
  <si>
    <t>023/208-805, 099/329-5055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</si>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</sst>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ljka.smoljan@marask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view="pageBreakPreview" zoomScale="110" zoomScaleSheetLayoutView="110" zoomScalePageLayoutView="0" workbookViewId="0" topLeftCell="A28">
      <selection activeCell="E25" sqref="E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5.00390625" style="11" bestFit="1" customWidth="1"/>
    <col min="10" max="16384" width="9.140625" style="11" customWidth="1"/>
  </cols>
  <sheetData>
    <row r="1" spans="1:12" ht="15.75">
      <c r="A1" s="147" t="s">
        <v>248</v>
      </c>
      <c r="B1" s="148"/>
      <c r="C1" s="14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0">
        <v>43101</v>
      </c>
      <c r="F2" s="12"/>
      <c r="G2" s="13" t="s">
        <v>250</v>
      </c>
      <c r="H2" s="120">
        <v>43190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8" t="s">
        <v>251</v>
      </c>
      <c r="B6" s="139"/>
      <c r="C6" s="153" t="s">
        <v>323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1" t="s">
        <v>252</v>
      </c>
      <c r="B8" s="192"/>
      <c r="C8" s="153" t="s">
        <v>324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3" t="s">
        <v>253</v>
      </c>
      <c r="B10" s="183"/>
      <c r="C10" s="153" t="s">
        <v>325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8" t="s">
        <v>254</v>
      </c>
      <c r="B12" s="139"/>
      <c r="C12" s="155" t="s">
        <v>326</v>
      </c>
      <c r="D12" s="180"/>
      <c r="E12" s="180"/>
      <c r="F12" s="180"/>
      <c r="G12" s="180"/>
      <c r="H12" s="180"/>
      <c r="I12" s="14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8" t="s">
        <v>255</v>
      </c>
      <c r="B14" s="139"/>
      <c r="C14" s="181">
        <v>23000</v>
      </c>
      <c r="D14" s="182"/>
      <c r="E14" s="16"/>
      <c r="F14" s="155" t="s">
        <v>327</v>
      </c>
      <c r="G14" s="180"/>
      <c r="H14" s="180"/>
      <c r="I14" s="14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8" t="s">
        <v>256</v>
      </c>
      <c r="B16" s="139"/>
      <c r="C16" s="155" t="s">
        <v>328</v>
      </c>
      <c r="D16" s="180"/>
      <c r="E16" s="180"/>
      <c r="F16" s="180"/>
      <c r="G16" s="180"/>
      <c r="H16" s="180"/>
      <c r="I16" s="14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8" t="s">
        <v>257</v>
      </c>
      <c r="B18" s="139"/>
      <c r="C18" s="176" t="s">
        <v>329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8" t="s">
        <v>258</v>
      </c>
      <c r="B20" s="139"/>
      <c r="C20" s="176" t="s">
        <v>330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8" t="s">
        <v>259</v>
      </c>
      <c r="B22" s="139"/>
      <c r="C22" s="121">
        <v>520</v>
      </c>
      <c r="D22" s="155" t="s">
        <v>327</v>
      </c>
      <c r="E22" s="166"/>
      <c r="F22" s="167"/>
      <c r="G22" s="138"/>
      <c r="H22" s="179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8" t="s">
        <v>260</v>
      </c>
      <c r="B24" s="139"/>
      <c r="C24" s="121">
        <v>13</v>
      </c>
      <c r="D24" s="155" t="s">
        <v>331</v>
      </c>
      <c r="E24" s="166"/>
      <c r="F24" s="166"/>
      <c r="G24" s="167"/>
      <c r="H24" s="51" t="s">
        <v>261</v>
      </c>
      <c r="I24" s="122">
        <v>160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8" t="s">
        <v>262</v>
      </c>
      <c r="B26" s="139"/>
      <c r="C26" s="123" t="s">
        <v>333</v>
      </c>
      <c r="D26" s="25"/>
      <c r="E26" s="33"/>
      <c r="F26" s="24"/>
      <c r="G26" s="168" t="s">
        <v>263</v>
      </c>
      <c r="H26" s="139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9" t="s">
        <v>264</v>
      </c>
      <c r="B28" s="170"/>
      <c r="C28" s="171"/>
      <c r="D28" s="171"/>
      <c r="E28" s="172" t="s">
        <v>265</v>
      </c>
      <c r="F28" s="173"/>
      <c r="G28" s="173"/>
      <c r="H28" s="174" t="s">
        <v>266</v>
      </c>
      <c r="I28" s="17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56"/>
      <c r="C30" s="156"/>
      <c r="D30" s="157"/>
      <c r="E30" s="163"/>
      <c r="F30" s="156"/>
      <c r="G30" s="156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64"/>
      <c r="E31" s="164"/>
      <c r="F31" s="164"/>
      <c r="G31" s="165"/>
      <c r="H31" s="16"/>
      <c r="I31" s="101"/>
      <c r="J31" s="10"/>
      <c r="K31" s="10"/>
      <c r="L31" s="10"/>
    </row>
    <row r="32" spans="1:12" ht="12.75">
      <c r="A32" s="163"/>
      <c r="B32" s="156"/>
      <c r="C32" s="156"/>
      <c r="D32" s="157"/>
      <c r="E32" s="163"/>
      <c r="F32" s="156"/>
      <c r="G32" s="156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56"/>
      <c r="C34" s="156"/>
      <c r="D34" s="157"/>
      <c r="E34" s="163"/>
      <c r="F34" s="156"/>
      <c r="G34" s="156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56"/>
      <c r="C36" s="156"/>
      <c r="D36" s="157"/>
      <c r="E36" s="163"/>
      <c r="F36" s="156"/>
      <c r="G36" s="156"/>
      <c r="H36" s="153"/>
      <c r="I36" s="154"/>
      <c r="J36" s="10"/>
      <c r="K36" s="10"/>
      <c r="L36" s="10"/>
    </row>
    <row r="37" spans="1:12" ht="12.75">
      <c r="A37" s="103"/>
      <c r="B37" s="30"/>
      <c r="C37" s="158"/>
      <c r="D37" s="159"/>
      <c r="E37" s="16"/>
      <c r="F37" s="158"/>
      <c r="G37" s="159"/>
      <c r="H37" s="16"/>
      <c r="I37" s="95"/>
      <c r="J37" s="10"/>
      <c r="K37" s="10"/>
      <c r="L37" s="10"/>
    </row>
    <row r="38" spans="1:12" ht="12.75">
      <c r="A38" s="163"/>
      <c r="B38" s="156"/>
      <c r="C38" s="156"/>
      <c r="D38" s="157"/>
      <c r="E38" s="163"/>
      <c r="F38" s="156"/>
      <c r="G38" s="156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56"/>
      <c r="C40" s="156"/>
      <c r="D40" s="157"/>
      <c r="E40" s="163"/>
      <c r="F40" s="156"/>
      <c r="G40" s="156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3" t="s">
        <v>267</v>
      </c>
      <c r="B44" s="134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03"/>
      <c r="B45" s="30"/>
      <c r="C45" s="158"/>
      <c r="D45" s="159"/>
      <c r="E45" s="16"/>
      <c r="F45" s="158"/>
      <c r="G45" s="160"/>
      <c r="H45" s="35"/>
      <c r="I45" s="107"/>
      <c r="J45" s="10"/>
      <c r="K45" s="10"/>
      <c r="L45" s="10"/>
    </row>
    <row r="46" spans="1:12" ht="12.75">
      <c r="A46" s="133" t="s">
        <v>268</v>
      </c>
      <c r="B46" s="134"/>
      <c r="C46" s="155" t="s">
        <v>336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3" t="s">
        <v>270</v>
      </c>
      <c r="B48" s="134"/>
      <c r="C48" s="140" t="s">
        <v>338</v>
      </c>
      <c r="D48" s="136"/>
      <c r="E48" s="137"/>
      <c r="F48" s="16"/>
      <c r="G48" s="51" t="s">
        <v>271</v>
      </c>
      <c r="H48" s="140"/>
      <c r="I48" s="13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3" t="s">
        <v>257</v>
      </c>
      <c r="B50" s="134"/>
      <c r="C50" s="135" t="s">
        <v>337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8" t="s">
        <v>272</v>
      </c>
      <c r="B52" s="139"/>
      <c r="C52" s="140" t="s">
        <v>335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108"/>
      <c r="B53" s="20"/>
      <c r="C53" s="149" t="s">
        <v>273</v>
      </c>
      <c r="D53" s="149"/>
      <c r="E53" s="149"/>
      <c r="F53" s="149"/>
      <c r="G53" s="149"/>
      <c r="H53" s="14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2" t="s">
        <v>274</v>
      </c>
      <c r="C55" s="143"/>
      <c r="D55" s="143"/>
      <c r="E55" s="14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4" t="s">
        <v>306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 ht="12.75">
      <c r="A57" s="108"/>
      <c r="B57" s="144" t="s">
        <v>307</v>
      </c>
      <c r="C57" s="145"/>
      <c r="D57" s="145"/>
      <c r="E57" s="145"/>
      <c r="F57" s="145"/>
      <c r="G57" s="145"/>
      <c r="H57" s="145"/>
      <c r="I57" s="110"/>
      <c r="J57" s="10"/>
      <c r="K57" s="10"/>
      <c r="L57" s="10"/>
    </row>
    <row r="58" spans="1:12" ht="12.75">
      <c r="A58" s="108"/>
      <c r="B58" s="144" t="s">
        <v>308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 ht="12.75">
      <c r="A59" s="108"/>
      <c r="B59" s="144" t="s">
        <v>309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0" t="s">
        <v>277</v>
      </c>
      <c r="H62" s="151"/>
      <c r="I62" s="15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1"/>
      <c r="H63" s="13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zeljka.smoljan@marask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1"/>
  <sheetViews>
    <sheetView tabSelected="1" view="pageBreakPreview" zoomScale="110" zoomScaleSheetLayoutView="110" zoomScalePageLayoutView="0" workbookViewId="0" topLeftCell="A86">
      <selection activeCell="N102" sqref="N102"/>
    </sheetView>
  </sheetViews>
  <sheetFormatPr defaultColWidth="9.140625" defaultRowHeight="12.75"/>
  <cols>
    <col min="1" max="8" width="9.140625" style="52" customWidth="1"/>
    <col min="9" max="9" width="5.57421875" style="52" bestFit="1" customWidth="1"/>
    <col min="10" max="10" width="9.8515625" style="52" bestFit="1" customWidth="1"/>
    <col min="11" max="11" width="10.421875" style="52" customWidth="1"/>
    <col min="12" max="12" width="9.140625" style="52" customWidth="1"/>
    <col min="13" max="13" width="12.00390625" style="52" bestFit="1" customWidth="1"/>
    <col min="14" max="16384" width="9.140625" style="52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334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59</v>
      </c>
      <c r="B4" s="209"/>
      <c r="C4" s="209"/>
      <c r="D4" s="209"/>
      <c r="E4" s="209"/>
      <c r="F4" s="209"/>
      <c r="G4" s="209"/>
      <c r="H4" s="210"/>
      <c r="I4" s="58" t="s">
        <v>278</v>
      </c>
      <c r="J4" s="59" t="s">
        <v>319</v>
      </c>
      <c r="K4" s="60" t="s">
        <v>320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7">
        <v>2</v>
      </c>
      <c r="J5" s="56">
        <v>3</v>
      </c>
      <c r="K5" s="56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3">
        <f>J9+J16+J26+J35+J39</f>
        <v>122653121</v>
      </c>
      <c r="K8" s="53">
        <f>K9+K16+K26+K35+K39</f>
        <v>119923324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v>0</v>
      </c>
      <c r="K9" s="53">
        <f>SUM(K10:K15)</f>
        <v>0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0</v>
      </c>
      <c r="K11" s="7">
        <v>0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0</v>
      </c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122631121</v>
      </c>
      <c r="K16" s="53">
        <f>SUM(K17:K25)</f>
        <v>119455151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30056155</v>
      </c>
      <c r="K17" s="7">
        <v>30056155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28416404</v>
      </c>
      <c r="K18" s="7">
        <v>27140862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10039563</v>
      </c>
      <c r="K19" s="7">
        <v>10558810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4623694</v>
      </c>
      <c r="K20" s="7">
        <v>5092204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>
        <v>49382901</v>
      </c>
      <c r="K21" s="7">
        <v>46595320</v>
      </c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100604</v>
      </c>
      <c r="K23" s="7"/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11800</v>
      </c>
      <c r="K24" s="7">
        <v>11800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22000</v>
      </c>
      <c r="K26" s="53">
        <f>SUM(K27:K34)</f>
        <v>468173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22000</v>
      </c>
      <c r="K29" s="7">
        <v>22000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130">
        <v>446173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0" t="s">
        <v>240</v>
      </c>
      <c r="B40" s="201"/>
      <c r="C40" s="201"/>
      <c r="D40" s="201"/>
      <c r="E40" s="201"/>
      <c r="F40" s="201"/>
      <c r="G40" s="201"/>
      <c r="H40" s="202"/>
      <c r="I40" s="1">
        <v>34</v>
      </c>
      <c r="J40" s="53">
        <f>J41+J49+J56+J64</f>
        <v>67024610</v>
      </c>
      <c r="K40" s="53">
        <f>K41+K49+K56+K64</f>
        <v>72549295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37423816</v>
      </c>
      <c r="K41" s="53">
        <f>SUM(K42:K48)</f>
        <v>41164240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12541352</v>
      </c>
      <c r="K42" s="7">
        <v>13016155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11004532</v>
      </c>
      <c r="K43" s="7">
        <v>15179299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13695232</v>
      </c>
      <c r="K44" s="7">
        <f>12968786-165681</f>
        <v>12803105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182700</v>
      </c>
      <c r="K45" s="7">
        <v>165681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29153678</v>
      </c>
      <c r="K49" s="53">
        <f>SUM(K50:K55)</f>
        <v>30987924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749498</v>
      </c>
      <c r="K50" s="7">
        <v>2054013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28048067</v>
      </c>
      <c r="K51" s="7">
        <f>30545664-2054013</f>
        <v>28491651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155381</v>
      </c>
      <c r="K53" s="7">
        <v>182092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200732</v>
      </c>
      <c r="K54" s="7">
        <v>260168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/>
      <c r="K55" s="7"/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74386</v>
      </c>
      <c r="K56" s="53">
        <f>SUM(K57:K63)</f>
        <v>68386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>
        <v>30000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74386</v>
      </c>
      <c r="K62" s="7">
        <v>38386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372730</v>
      </c>
      <c r="K64" s="7">
        <v>328745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8200151</v>
      </c>
      <c r="K65" s="7">
        <v>675176</v>
      </c>
    </row>
    <row r="66" spans="1:11" ht="12.75">
      <c r="A66" s="200" t="s">
        <v>241</v>
      </c>
      <c r="B66" s="201"/>
      <c r="C66" s="201"/>
      <c r="D66" s="201"/>
      <c r="E66" s="201"/>
      <c r="F66" s="201"/>
      <c r="G66" s="201"/>
      <c r="H66" s="202"/>
      <c r="I66" s="1">
        <v>60</v>
      </c>
      <c r="J66" s="53">
        <f>J7+J8+J40+J65</f>
        <v>197877882</v>
      </c>
      <c r="K66" s="53">
        <f>K7+K8+K40+K65</f>
        <v>193147795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199"/>
      <c r="I69" s="3">
        <v>62</v>
      </c>
      <c r="J69" s="54">
        <f>J70+J71+J72+J78+J79+J82+J85</f>
        <v>13499230</v>
      </c>
      <c r="K69" s="54">
        <f>K70+K71+K72+K78+K79+K82+K85</f>
        <v>57561703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69918310</v>
      </c>
      <c r="K70" s="7">
        <v>99918350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/>
      <c r="K73" s="7"/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-54664311</v>
      </c>
      <c r="K79" s="53">
        <f>K80-K81</f>
        <v>-53675271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/>
    </row>
    <row r="81" spans="1:13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54664311</v>
      </c>
      <c r="K81" s="7">
        <f>60540092-6864821</f>
        <v>53675271</v>
      </c>
      <c r="M81" s="129"/>
    </row>
    <row r="82" spans="1:13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-1754769</v>
      </c>
      <c r="K82" s="53">
        <f>K83-K84</f>
        <v>11318624</v>
      </c>
      <c r="M82" s="129"/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53"/>
      <c r="K83" s="53">
        <v>11318624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53">
        <v>1754769</v>
      </c>
      <c r="K84" s="53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3">
        <f>SUM(J91:J99)</f>
        <v>43030335</v>
      </c>
      <c r="K90" s="53">
        <f>SUM(K91:K99)</f>
        <v>96938736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>
        <v>37166134</v>
      </c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0</v>
      </c>
      <c r="K92" s="7">
        <v>0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43030335</v>
      </c>
      <c r="K93" s="7">
        <v>59772602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3">
        <f>SUM(J101:J112)</f>
        <v>141313203</v>
      </c>
      <c r="K100" s="53">
        <f>SUM(K101:K112)</f>
        <v>38647356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6475581</v>
      </c>
      <c r="K101" s="7">
        <v>2509562</v>
      </c>
    </row>
    <row r="102" spans="1:11" ht="12.75" customHeight="1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98973619</v>
      </c>
      <c r="K102" s="7">
        <v>1640661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10999228</v>
      </c>
      <c r="K103" s="7">
        <v>10848563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579394</v>
      </c>
      <c r="K104" s="7">
        <v>579394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15652246</v>
      </c>
      <c r="K105" s="7">
        <f>19954188-921167-2509562</f>
        <v>16523459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719129</v>
      </c>
      <c r="K108" s="7">
        <v>772083</v>
      </c>
    </row>
    <row r="109" spans="1:14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7914006</v>
      </c>
      <c r="K109" s="7">
        <v>5773634</v>
      </c>
      <c r="M109" s="129"/>
      <c r="N109" s="129"/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/>
      <c r="K112" s="7"/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35114</v>
      </c>
      <c r="K113" s="7"/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3">
        <f>J69+J86+J90+J100+J113</f>
        <v>197877882</v>
      </c>
      <c r="K114" s="53">
        <f>K69+K86+K90+K100+K113</f>
        <v>193147795</v>
      </c>
    </row>
    <row r="115" spans="1:12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/>
      <c r="K115" s="8"/>
      <c r="L115" s="129"/>
    </row>
    <row r="116" spans="1:11" ht="12.75">
      <c r="A116" s="217" t="s">
        <v>310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231"/>
      <c r="J117" s="231"/>
      <c r="K117" s="232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86:K115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71"/>
  <sheetViews>
    <sheetView view="pageBreakPreview" zoomScale="110" zoomScaleSheetLayoutView="110" zoomScalePageLayoutView="0" workbookViewId="0" topLeftCell="A32">
      <selection activeCell="L42" sqref="L42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47" t="s">
        <v>340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8" t="s">
        <v>334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8" t="s">
        <v>279</v>
      </c>
      <c r="J4" s="240" t="s">
        <v>319</v>
      </c>
      <c r="K4" s="240"/>
      <c r="L4" s="240" t="s">
        <v>320</v>
      </c>
      <c r="M4" s="240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54">
        <f>SUM(J8:J9)</f>
        <v>29608119</v>
      </c>
      <c r="K7" s="54">
        <f>SUM(K8:K9)</f>
        <v>29608119</v>
      </c>
      <c r="L7" s="54">
        <f>SUM(L8:L9)</f>
        <v>29925864</v>
      </c>
      <c r="M7" s="54">
        <f>SUM(M8:M9)</f>
        <v>29925864</v>
      </c>
    </row>
    <row r="8" spans="1:13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28812165</v>
      </c>
      <c r="K8" s="7">
        <v>28812165</v>
      </c>
      <c r="L8" s="7">
        <f>+M8</f>
        <v>29680750</v>
      </c>
      <c r="M8" s="7">
        <v>29680750</v>
      </c>
    </row>
    <row r="9" spans="1:13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795954</v>
      </c>
      <c r="K9" s="7">
        <v>795954</v>
      </c>
      <c r="L9" s="7">
        <f>+M9</f>
        <v>245114</v>
      </c>
      <c r="M9" s="7">
        <v>245114</v>
      </c>
    </row>
    <row r="10" spans="1:13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3">
        <f>J11+J12+J16+J20+J21+J22+J25+J26</f>
        <v>30822536</v>
      </c>
      <c r="K10" s="53">
        <f>K11+K12+K16+K20+K21+K22+K25+K26</f>
        <v>30822536</v>
      </c>
      <c r="L10" s="53">
        <f>L11+L12+L16+L20+L21+L22+L25+L26</f>
        <v>30524712</v>
      </c>
      <c r="M10" s="53">
        <f>M11+M12+M16+M20+M21+M22+M25+M26</f>
        <v>30524712</v>
      </c>
    </row>
    <row r="11" spans="1:13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-157408</v>
      </c>
      <c r="K11" s="7">
        <f>J11</f>
        <v>-157408</v>
      </c>
      <c r="L11" s="7">
        <f>+M11</f>
        <v>60917</v>
      </c>
      <c r="M11" s="7">
        <v>60917</v>
      </c>
    </row>
    <row r="12" spans="1:13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3">
        <f>SUM(J13:J15)</f>
        <v>16509201</v>
      </c>
      <c r="K12" s="53">
        <f>SUM(K13:K15)</f>
        <v>16509201</v>
      </c>
      <c r="L12" s="53">
        <f>SUM(L13:L15)</f>
        <v>17218746</v>
      </c>
      <c r="M12" s="53">
        <f>SUM(M13:M15)</f>
        <v>17218746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11690554</v>
      </c>
      <c r="K13" s="7">
        <f>J13</f>
        <v>11690554</v>
      </c>
      <c r="L13" s="7">
        <f>+M13</f>
        <v>13000703</v>
      </c>
      <c r="M13" s="7">
        <v>13000703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225007</v>
      </c>
      <c r="K14" s="7">
        <f>J14</f>
        <v>225007</v>
      </c>
      <c r="L14" s="7">
        <f>+M14</f>
        <v>79216</v>
      </c>
      <c r="M14" s="7">
        <v>79216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4593640</v>
      </c>
      <c r="K15" s="7">
        <f>J15</f>
        <v>4593640</v>
      </c>
      <c r="L15" s="7">
        <f>+M15</f>
        <v>4138827</v>
      </c>
      <c r="M15" s="7">
        <v>4138827</v>
      </c>
    </row>
    <row r="16" spans="1:13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3">
        <f>SUM(J17:J19)</f>
        <v>3198042</v>
      </c>
      <c r="K16" s="53">
        <f>SUM(K17:K19)</f>
        <v>3198042</v>
      </c>
      <c r="L16" s="53">
        <f>SUM(L17:L19)</f>
        <v>3627809</v>
      </c>
      <c r="M16" s="53">
        <f>SUM(M17:M19)</f>
        <v>3627809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2154030</v>
      </c>
      <c r="K17" s="7">
        <f>J17</f>
        <v>2154030</v>
      </c>
      <c r="L17" s="7">
        <f>+M17</f>
        <v>2407916</v>
      </c>
      <c r="M17" s="7">
        <v>2407916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647257</v>
      </c>
      <c r="K18" s="7">
        <f>J18</f>
        <v>647257</v>
      </c>
      <c r="L18" s="7">
        <f>+M18</f>
        <v>752916</v>
      </c>
      <c r="M18" s="7">
        <v>752916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396755</v>
      </c>
      <c r="K19" s="7">
        <f>J19</f>
        <v>396755</v>
      </c>
      <c r="L19" s="7">
        <f>+M19</f>
        <v>466977</v>
      </c>
      <c r="M19" s="7">
        <v>466977</v>
      </c>
    </row>
    <row r="20" spans="1:13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1878352</v>
      </c>
      <c r="K20" s="7">
        <f>J20</f>
        <v>1878352</v>
      </c>
      <c r="L20" s="7">
        <f>+M20</f>
        <v>1535394</v>
      </c>
      <c r="M20" s="7">
        <v>1535394</v>
      </c>
    </row>
    <row r="21" spans="1:13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1348708</v>
      </c>
      <c r="K21" s="7">
        <f>J21</f>
        <v>1348708</v>
      </c>
      <c r="L21" s="7">
        <f>+M21</f>
        <v>1204821</v>
      </c>
      <c r="M21" s="7">
        <v>1204821</v>
      </c>
    </row>
    <row r="22" spans="1:13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8045641</v>
      </c>
      <c r="K26" s="7">
        <f>J26</f>
        <v>8045641</v>
      </c>
      <c r="L26" s="7">
        <f>+M26</f>
        <v>6877025</v>
      </c>
      <c r="M26" s="7">
        <f>6877543-518</f>
        <v>6877025</v>
      </c>
    </row>
    <row r="27" spans="1:13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3">
        <f>SUM(J28:J32)</f>
        <v>7393</v>
      </c>
      <c r="K27" s="53">
        <f>SUM(K28:K32)</f>
        <v>7393</v>
      </c>
      <c r="L27" s="53">
        <f>SUM(L28:L32)</f>
        <v>340380</v>
      </c>
      <c r="M27" s="53">
        <f>SUM(M28:M32)</f>
        <v>340380</v>
      </c>
    </row>
    <row r="28" spans="1:13" ht="12.75">
      <c r="A28" s="200" t="s">
        <v>227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>
        <f>+M28</f>
        <v>293180</v>
      </c>
      <c r="M28" s="7">
        <v>293180</v>
      </c>
    </row>
    <row r="29" spans="1:13" ht="12.75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7393</v>
      </c>
      <c r="K29" s="7">
        <f>J29</f>
        <v>7393</v>
      </c>
      <c r="L29" s="7">
        <f>+M29</f>
        <v>45190</v>
      </c>
      <c r="M29" s="7">
        <v>45190</v>
      </c>
    </row>
    <row r="30" spans="1:13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>
        <f>J32</f>
        <v>0</v>
      </c>
      <c r="L32" s="7">
        <f>+M32</f>
        <v>2010</v>
      </c>
      <c r="M32" s="7">
        <v>2010</v>
      </c>
    </row>
    <row r="33" spans="1:13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3">
        <f>SUM(J34:J37)</f>
        <v>547745</v>
      </c>
      <c r="K33" s="53">
        <f>SUM(K34:K37)</f>
        <v>547745</v>
      </c>
      <c r="L33" s="53">
        <f>SUM(L34:L37)</f>
        <v>1755110</v>
      </c>
      <c r="M33" s="53">
        <f>SUM(M34:M37)</f>
        <v>1755110</v>
      </c>
    </row>
    <row r="34" spans="1:13" ht="12.75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84545</v>
      </c>
      <c r="K34" s="7">
        <v>84545</v>
      </c>
      <c r="L34" s="7">
        <f>+M34</f>
        <v>612379</v>
      </c>
      <c r="M34" s="7">
        <v>612379</v>
      </c>
    </row>
    <row r="35" spans="1:13" ht="12.75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373784</v>
      </c>
      <c r="K35" s="7">
        <f>J35</f>
        <v>373784</v>
      </c>
      <c r="L35" s="7">
        <f>+M35</f>
        <v>1142731</v>
      </c>
      <c r="M35" s="7">
        <v>1142731</v>
      </c>
    </row>
    <row r="36" spans="1:13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89416</v>
      </c>
      <c r="K37" s="7">
        <v>89416</v>
      </c>
      <c r="L37" s="7"/>
      <c r="M37" s="7"/>
    </row>
    <row r="38" spans="1:13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>
        <f>+M40</f>
        <v>13332202</v>
      </c>
      <c r="M40" s="7">
        <v>13332202</v>
      </c>
    </row>
    <row r="41" spans="1:13" ht="12.75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3">
        <f>J7+J27+J38+J40</f>
        <v>29615512</v>
      </c>
      <c r="K42" s="53">
        <f>K7+K27+K38+K40</f>
        <v>29615512</v>
      </c>
      <c r="L42" s="53">
        <f>L7+L27+L38+L40</f>
        <v>43598446</v>
      </c>
      <c r="M42" s="53">
        <f>M7+M27+M38+M40</f>
        <v>43598446</v>
      </c>
    </row>
    <row r="43" spans="1:13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3">
        <f>J10+J33+J39+J41</f>
        <v>31370281</v>
      </c>
      <c r="K43" s="53">
        <f>K10+K33+K39+K41</f>
        <v>31370281</v>
      </c>
      <c r="L43" s="53">
        <f>L10+L33+L39+L41</f>
        <v>32279822</v>
      </c>
      <c r="M43" s="53">
        <f>M10+M33+M39+M41</f>
        <v>32279822</v>
      </c>
    </row>
    <row r="44" spans="1:13" ht="12.75">
      <c r="A44" s="200" t="s">
        <v>236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3">
        <f>J42-J43</f>
        <v>-1754769</v>
      </c>
      <c r="K44" s="53">
        <f>K42-K43</f>
        <v>-1754769</v>
      </c>
      <c r="L44" s="53">
        <f>L42-L43</f>
        <v>11318624</v>
      </c>
      <c r="M44" s="53">
        <f>M42-M43</f>
        <v>11318624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11318624</v>
      </c>
      <c r="M45" s="53">
        <f>IF(M42&gt;M43,M42-M43,0)</f>
        <v>11318624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1754769</v>
      </c>
      <c r="K46" s="53">
        <f>IF(K43&gt;K42,K43-K42,0)</f>
        <v>1754769</v>
      </c>
      <c r="L46" s="53">
        <f>IF(L43&gt;L42,L43-L42,0)</f>
        <v>0</v>
      </c>
      <c r="M46" s="53">
        <f>IF(M43&gt;M42,M43-M42,0)</f>
        <v>0</v>
      </c>
    </row>
    <row r="47" spans="1:13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237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3">
        <f>J44-J47</f>
        <v>-1754769</v>
      </c>
      <c r="K48" s="53">
        <f>K44-K47</f>
        <v>-1754769</v>
      </c>
      <c r="L48" s="53">
        <f>L44-L47</f>
        <v>11318624</v>
      </c>
      <c r="M48" s="53">
        <f>M44-M47</f>
        <v>11318624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11318624</v>
      </c>
      <c r="M49" s="53">
        <f>IF(M48&gt;0,M48,0)</f>
        <v>11318624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1754769</v>
      </c>
      <c r="K50" s="61">
        <f>IF(K48&lt;0,-K48,0)</f>
        <v>1754769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7" t="s">
        <v>312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/>
      <c r="K56" s="6"/>
      <c r="L56" s="6"/>
      <c r="M56" s="6"/>
    </row>
    <row r="57" spans="1:13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0" t="s">
        <v>228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229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230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231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232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233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22 J23:J25 J42:M46 M29:M33 J27:K27 M35 J38:J41 J7:M10 J26:L26 K11 M26:M27 L27:L36 L38:L40 L23:L25 J28:J36 K29:K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view="pageBreakPreview" zoomScale="110" zoomScaleSheetLayoutView="110" zoomScalePageLayoutView="0" workbookViewId="0" topLeftCell="A1">
      <selection activeCell="S25" sqref="S25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1" width="9.42187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-1754769</v>
      </c>
      <c r="K7" s="7">
        <v>11318624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1878352</v>
      </c>
      <c r="K8" s="7">
        <v>1535394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1909454</v>
      </c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/>
      <c r="K11" s="7">
        <v>51824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/>
      <c r="K12" s="7">
        <v>5532515</v>
      </c>
    </row>
    <row r="13" spans="1:11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53">
        <f>SUM(J7:J12)</f>
        <v>2033037</v>
      </c>
      <c r="K13" s="53">
        <f>SUM(K7:K12)</f>
        <v>18438357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7"/>
      <c r="K14" s="7">
        <v>6699668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>
        <v>346768</v>
      </c>
      <c r="K15" s="7">
        <v>2242231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327133</v>
      </c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516706</v>
      </c>
      <c r="K17" s="7"/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3">
        <v>1190607</v>
      </c>
      <c r="K18" s="53">
        <f>SUM(K14:K17)</f>
        <v>8941899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53">
        <v>842430</v>
      </c>
      <c r="K19" s="53">
        <f>IF(K13&gt;K18,K13-K18,0)</f>
        <v>9496458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53">
        <v>0</v>
      </c>
      <c r="K20" s="53">
        <f>IF(K18&gt;K13,K18-K13,0)</f>
        <v>0</v>
      </c>
    </row>
    <row r="21" spans="1:11" ht="12.75">
      <c r="A21" s="217" t="s">
        <v>159</v>
      </c>
      <c r="B21" s="228"/>
      <c r="C21" s="228"/>
      <c r="D21" s="228"/>
      <c r="E21" s="228"/>
      <c r="F21" s="228"/>
      <c r="G21" s="228"/>
      <c r="H21" s="228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7">
        <v>0</v>
      </c>
      <c r="K22" s="7">
        <v>0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7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/>
      <c r="K26" s="7"/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53">
        <f>SUM(J22:J26)</f>
        <v>0</v>
      </c>
      <c r="K27" s="53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368824</v>
      </c>
      <c r="K28" s="7">
        <v>18667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/>
      <c r="K30" s="7"/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53">
        <f>SUM(J28:J30)</f>
        <v>368824</v>
      </c>
      <c r="K31" s="53">
        <f>SUM(K28:K30)</f>
        <v>18667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53">
        <f>IF(J31&gt;J27,J31-J27,0)</f>
        <v>368824</v>
      </c>
      <c r="K33" s="53">
        <f>IF(K31&gt;K27,K31-K27,0)</f>
        <v>18667</v>
      </c>
    </row>
    <row r="34" spans="1:11" ht="12.75">
      <c r="A34" s="217" t="s">
        <v>160</v>
      </c>
      <c r="B34" s="228"/>
      <c r="C34" s="228"/>
      <c r="D34" s="228"/>
      <c r="E34" s="228"/>
      <c r="F34" s="228"/>
      <c r="G34" s="228"/>
      <c r="H34" s="228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7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/>
      <c r="K37" s="7"/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326453</v>
      </c>
      <c r="K39" s="7">
        <f>1755092+7420684</f>
        <v>9175776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/>
      <c r="K41" s="7">
        <v>125423</v>
      </c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/>
      <c r="K43" s="7"/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53">
        <f>SUM(J39:J43)</f>
        <v>326453</v>
      </c>
      <c r="K44" s="53">
        <f>SUM(K39:K43)</f>
        <v>9301199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53">
        <f>IF(J44&gt;J38,J44-J38,0)</f>
        <v>326453</v>
      </c>
      <c r="K46" s="53">
        <f>IF(K44&gt;K38,K44-K38,0)</f>
        <v>9301199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53">
        <f>IF(J19-J20+J32-J33+J45-J46&gt;0,J19-J20+J32-J33+J45-J46,0)</f>
        <v>147153</v>
      </c>
      <c r="K47" s="53">
        <f>IF(K19-K20+K32-K33+K45-K46&gt;0,K19-K20+K32-K33+K45-K46,0)</f>
        <v>176592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225577</v>
      </c>
      <c r="K49" s="7">
        <v>151253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147153</v>
      </c>
      <c r="K50" s="7">
        <f>328745-152153</f>
        <v>176592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/>
      <c r="K51" s="7"/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1">
        <f>J49+J50-J51</f>
        <v>372730</v>
      </c>
      <c r="K52" s="61">
        <f>K49+K50-K51</f>
        <v>327845</v>
      </c>
    </row>
    <row r="66" ht="12.75">
      <c r="K66" s="12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8:K30 J9:K12 J22:K26 J14:K17 J7:K7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38:K38 J31:K33 J44:K48 J18:K20 J8:K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28"/>
      <c r="C22" s="228"/>
      <c r="D22" s="228"/>
      <c r="E22" s="228"/>
      <c r="F22" s="228"/>
      <c r="G22" s="228"/>
      <c r="H22" s="228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28"/>
      <c r="C35" s="228"/>
      <c r="D35" s="228"/>
      <c r="E35" s="228"/>
      <c r="F35" s="228"/>
      <c r="G35" s="228"/>
      <c r="H35" s="228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66"/>
  <sheetViews>
    <sheetView view="pageBreakPreview" zoomScale="125" zoomScaleSheetLayoutView="125" zoomScalePageLayoutView="0" workbookViewId="0" topLeftCell="A1">
      <selection activeCell="N13" sqref="N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6.57421875" style="76" bestFit="1" customWidth="1"/>
    <col min="10" max="16384" width="9.140625" style="76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5"/>
    </row>
    <row r="2" spans="1:12" ht="15.75">
      <c r="A2" s="42"/>
      <c r="B2" s="74"/>
      <c r="C2" s="287" t="s">
        <v>282</v>
      </c>
      <c r="D2" s="287"/>
      <c r="E2" s="77">
        <v>43101</v>
      </c>
      <c r="F2" s="43" t="s">
        <v>250</v>
      </c>
      <c r="G2" s="288">
        <v>43190</v>
      </c>
      <c r="H2" s="289"/>
      <c r="I2" s="74"/>
      <c r="J2" s="74"/>
      <c r="K2" s="74"/>
      <c r="L2" s="78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81" t="s">
        <v>305</v>
      </c>
      <c r="J3" s="82" t="s">
        <v>150</v>
      </c>
      <c r="K3" s="82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4">
        <v>2</v>
      </c>
      <c r="J4" s="83" t="s">
        <v>283</v>
      </c>
      <c r="K4" s="83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69918310</v>
      </c>
      <c r="K5" s="45">
        <v>99918350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/>
      <c r="K7" s="46"/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-54664311</v>
      </c>
      <c r="K8" s="46">
        <v>-53675271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-1754769</v>
      </c>
      <c r="K9" s="46">
        <v>11318624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9">
        <f>SUM(J5:J13)</f>
        <v>13499230</v>
      </c>
      <c r="K14" s="79">
        <f>SUM(K5:K13)</f>
        <v>57561703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8">
        <v>19</v>
      </c>
      <c r="J24" s="80"/>
      <c r="K24" s="80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66" ht="12.75">
      <c r="K66" s="128">
        <f>K7+K8+K40+K65</f>
        <v>-53675271</v>
      </c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Windows User</cp:lastModifiedBy>
  <cp:lastPrinted>2017-05-02T08:58:15Z</cp:lastPrinted>
  <dcterms:created xsi:type="dcterms:W3CDTF">2008-10-17T11:51:54Z</dcterms:created>
  <dcterms:modified xsi:type="dcterms:W3CDTF">2018-04-27T08:06:50Z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