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<sst xmlns="http://schemas.openxmlformats.org/spreadsheetml/2006/main" count="395" uniqueCount="342">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</sst>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23000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520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13</v>
      </c>
      <c r="D24" s="152" t="s">
        <v>331</v>
      </c>
      <c r="E24" s="163"/>
      <c r="F24" s="163"/>
      <c r="G24" s="164"/>
      <c r="H24" s="51" t="s">
        <v>261</v>
      </c>
      <c r="I24" s="122">
        <v>189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view="pageBreakPreview" zoomScale="110" zoomScaleSheetLayoutView="110" zoomScalePageLayoutView="0" workbookViewId="0" topLeftCell="A1">
      <selection activeCell="K81" sqref="K81"/>
    </sheetView>
  </sheetViews>
  <sheetFormatPr defaultColWidth="9.140625" defaultRowHeight="12.75"/>
  <cols>
    <col min="1" max="8" width="9.140625" style="52" customWidth="1"/>
    <col min="9" max="9" width="5.57421875" style="52" bestFit="1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135365054</v>
      </c>
      <c r="K8" s="53">
        <f>K9+K16+K26+K35+K39</f>
        <v>134534422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865756</v>
      </c>
      <c r="K9" s="53">
        <f>SUM(K10:K15)</f>
        <v>865756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0</v>
      </c>
      <c r="K11" s="7">
        <v>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865756</v>
      </c>
      <c r="K14" s="7">
        <v>865756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134477298</v>
      </c>
      <c r="K16" s="53">
        <f>SUM(K17:K25)</f>
        <v>133646666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30056155</v>
      </c>
      <c r="K17" s="7">
        <v>30056155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f>83002996-49440298</f>
        <v>33562698</v>
      </c>
      <c r="K18" s="7">
        <f>82994996-50953127</f>
        <v>32041869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f>54837882-35300423</f>
        <v>19537459</v>
      </c>
      <c r="K19" s="7">
        <f>55301024-38618895</f>
        <v>16682129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f>81738081+11800-106569233+49440298+35300423+1389290-54837882</f>
        <v>6472777</v>
      </c>
      <c r="K20" s="7">
        <f>82745059+11800-113280789+50953127+38618895+2307311-55301024</f>
        <v>6054379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f>43614616-1389290</f>
        <v>42225326</v>
      </c>
      <c r="K21" s="7">
        <f>48187442-2307311</f>
        <v>45880131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f>1718868+904015</f>
        <v>2622883</v>
      </c>
      <c r="K23" s="7">
        <f>1214133+1717870</f>
        <v>2932003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22000</v>
      </c>
      <c r="K26" s="53">
        <f>SUM(K27:K34)</f>
        <v>22000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22000</v>
      </c>
      <c r="K29" s="7">
        <v>22000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104688227</v>
      </c>
      <c r="K40" s="53">
        <f>K41+K49+K56+K64</f>
        <v>106308104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53436754</v>
      </c>
      <c r="K41" s="53">
        <f>SUM(K42:K48)</f>
        <v>57708400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15165606</v>
      </c>
      <c r="K42" s="7">
        <v>15281969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f>2754308+6148001</f>
        <v>8902309</v>
      </c>
      <c r="K43" s="7">
        <f>1837025+8840486</f>
        <v>10677511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f>28022331</f>
        <v>28022331</v>
      </c>
      <c r="K44" s="7">
        <f>31378334-256173</f>
        <v>31122161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f>34350+104+1312054</f>
        <v>1346508</v>
      </c>
      <c r="K45" s="7">
        <f>34470+104+336012+256173</f>
        <v>626759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49289689</v>
      </c>
      <c r="K49" s="53">
        <f>SUM(K50:K55)</f>
        <v>47213383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f>51529585+3967780-8303398</f>
        <v>47193967</v>
      </c>
      <c r="K51" s="7">
        <f>48962684+4629795-8300218</f>
        <v>45292261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f>166564+63153</f>
        <v>229717</v>
      </c>
      <c r="K53" s="7">
        <f>183804+63153</f>
        <v>246957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f>360564+109679+0</f>
        <v>470243</v>
      </c>
      <c r="K54" s="7">
        <f>61958+98112</f>
        <v>160070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1395762</v>
      </c>
      <c r="K55" s="7">
        <v>1514095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1431027</v>
      </c>
      <c r="K56" s="53">
        <f>SUM(K57:K63)</f>
        <v>1172846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1431027</v>
      </c>
      <c r="K62" s="7">
        <v>1172846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530757</v>
      </c>
      <c r="K64" s="7">
        <v>213475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15084191</v>
      </c>
      <c r="K65" s="7">
        <v>15972546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255137472</v>
      </c>
      <c r="K66" s="53">
        <f>K7+K8+K40+K65</f>
        <v>256815072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67270516</v>
      </c>
      <c r="K69" s="54">
        <f>K70+K71+K72+K78+K79+K82+K85</f>
        <v>62230112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69918310</v>
      </c>
      <c r="K70" s="7">
        <v>69918310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-1615135</v>
      </c>
      <c r="K79" s="53">
        <f>K80-K81</f>
        <v>-3099123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1615135</v>
      </c>
      <c r="K81" s="7">
        <f>41906981-40291128+1483270</f>
        <v>3099123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-1032659</v>
      </c>
      <c r="K82" s="53">
        <f>K83-K84</f>
        <v>-4589075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f>1034093-1434</f>
        <v>1032659</v>
      </c>
      <c r="K84" s="53">
        <v>4589075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69551730</v>
      </c>
      <c r="K90" s="53">
        <f>SUM(K91:K99)</f>
        <v>57900192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69551730</v>
      </c>
      <c r="K93" s="7">
        <v>57900192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113628403</v>
      </c>
      <c r="K100" s="53">
        <f>SUM(K101:K112)</f>
        <v>135796039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33262121</v>
      </c>
      <c r="K102" s="7">
        <f>43539681+3094179+142984+41220+7845932+715050+979477+1094372</f>
        <v>57452895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14072154</v>
      </c>
      <c r="K103" s="7">
        <f>17102569+35326+195926+131132+37172+17241</f>
        <v>17519366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579394</v>
      </c>
      <c r="K104" s="7">
        <v>579394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f>35978624+5744209-574195</f>
        <v>41148638</v>
      </c>
      <c r="K105" s="7">
        <f>33145860+3697010-574195</f>
        <v>36268675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f>76904+624513</f>
        <v>701417</v>
      </c>
      <c r="K108" s="7">
        <f>87506+725619</f>
        <v>813125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f>3812967-16454+8833039-78685+3655460+5885717+2397148-624513</f>
        <v>23864679</v>
      </c>
      <c r="K109" s="7">
        <f>3187882+7959065+17611+4079675+7538622+347778+31951</f>
        <v>23162584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4686823</v>
      </c>
      <c r="K113" s="7">
        <v>888729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255137472</v>
      </c>
      <c r="K114" s="53">
        <f>K69+K86+K90+K100+K113</f>
        <v>256815072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tabSelected="1" view="pageBreakPreview" zoomScale="110" zoomScaleSheetLayoutView="110" zoomScalePageLayoutView="0" workbookViewId="0" topLeftCell="A4">
      <selection activeCell="L48" sqref="L48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63959714</v>
      </c>
      <c r="K7" s="54">
        <f>SUM(K8:K9)</f>
        <v>39206947</v>
      </c>
      <c r="L7" s="54">
        <f>SUM(L8:L9)</f>
        <v>68322866</v>
      </c>
      <c r="M7" s="54">
        <f>SUM(M8:M9)</f>
        <v>41168512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f>60470273+3130007</f>
        <v>63600280</v>
      </c>
      <c r="K8" s="7">
        <f>J8-24588409</f>
        <v>39011871</v>
      </c>
      <c r="L8" s="7">
        <f>65790379+2032540</f>
        <v>67822919</v>
      </c>
      <c r="M8" s="7">
        <f>L8-27000350</f>
        <v>40822569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359434</v>
      </c>
      <c r="K9" s="7">
        <f>J9-164358</f>
        <v>195076</v>
      </c>
      <c r="L9" s="7">
        <v>499947</v>
      </c>
      <c r="M9" s="7">
        <f>L9-154004</f>
        <v>345943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61767209</v>
      </c>
      <c r="K10" s="53">
        <f>K11+K12+K16+K20+K21+K22+K25+K26</f>
        <v>36479984</v>
      </c>
      <c r="L10" s="53">
        <f>L11+L12+L16+L20+L21+L22+L25+L26</f>
        <v>70539370</v>
      </c>
      <c r="M10" s="53">
        <f>M11+M12+M16+M20+M21+M22+M25+M26</f>
        <v>42937573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f>-37771788+35176056</f>
        <v>-2595732</v>
      </c>
      <c r="K11" s="7">
        <f>J11+3349575</f>
        <v>753843</v>
      </c>
      <c r="L11" s="7">
        <f>-(39412680-39398501)</f>
        <v>-14179</v>
      </c>
      <c r="M11" s="7">
        <f>L11+497401</f>
        <v>483222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43832146</v>
      </c>
      <c r="K12" s="53">
        <f>SUM(K13:K15)</f>
        <v>24450518</v>
      </c>
      <c r="L12" s="53">
        <f>SUM(L13:L15)</f>
        <v>44359639</v>
      </c>
      <c r="M12" s="53">
        <f>SUM(M13:M15)</f>
        <v>25512734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f>31927488+10331</f>
        <v>31937819</v>
      </c>
      <c r="K13" s="7">
        <f>J13-14297870</f>
        <v>17639949</v>
      </c>
      <c r="L13" s="7">
        <f>31121163+19633</f>
        <v>31140796</v>
      </c>
      <c r="M13" s="7">
        <f>L13-13953627</f>
        <v>17187169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2913070</v>
      </c>
      <c r="K14" s="7">
        <f>J14-1169892</f>
        <v>1743178</v>
      </c>
      <c r="L14" s="7">
        <v>1881488</v>
      </c>
      <c r="M14" s="7">
        <f>L14-436355</f>
        <v>1445133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f>9269787+40463-328993</f>
        <v>8981257</v>
      </c>
      <c r="K15" s="7">
        <f>J15-3913866</f>
        <v>5067391</v>
      </c>
      <c r="L15" s="7">
        <f>11631341+66109-360095</f>
        <v>11337355</v>
      </c>
      <c r="M15" s="7">
        <f>L15-4456923</f>
        <v>6880432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5551288</v>
      </c>
      <c r="K16" s="53">
        <f>SUM(K17:K19)</f>
        <v>2837203</v>
      </c>
      <c r="L16" s="53">
        <f>SUM(L17:L19)</f>
        <v>5967194</v>
      </c>
      <c r="M16" s="53">
        <f>SUM(M17:M19)</f>
        <v>3163597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3424661</v>
      </c>
      <c r="K17" s="7">
        <f>J17-1672766</f>
        <v>1751895</v>
      </c>
      <c r="L17" s="7">
        <v>3659421</v>
      </c>
      <c r="M17" s="7">
        <f>L17-1727162</f>
        <v>1932259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f>430400+963766</f>
        <v>1394166</v>
      </c>
      <c r="K18" s="7">
        <f>J18-683211</f>
        <v>710955</v>
      </c>
      <c r="L18" s="7">
        <f>446973+1026599</f>
        <v>1473572</v>
      </c>
      <c r="M18" s="7">
        <f>L18-706516</f>
        <v>767056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732461</v>
      </c>
      <c r="K19" s="7">
        <f>J19-358108</f>
        <v>374353</v>
      </c>
      <c r="L19" s="7">
        <v>834201</v>
      </c>
      <c r="M19" s="7">
        <f>L19-369919</f>
        <v>464282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3340517</v>
      </c>
      <c r="K20" s="7">
        <f>J20-1670850</f>
        <v>1669667</v>
      </c>
      <c r="L20" s="7">
        <v>3387982</v>
      </c>
      <c r="M20" s="7">
        <f>L20-1697410</f>
        <v>1690572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f>328993+5182201+5000</f>
        <v>5516194</v>
      </c>
      <c r="K21" s="7">
        <f>J21-2385931</f>
        <v>3130263</v>
      </c>
      <c r="L21" s="7">
        <f>360095+5789232+6000</f>
        <v>6155327</v>
      </c>
      <c r="M21" s="7">
        <f>L21-2558640</f>
        <v>3596687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6122796</v>
      </c>
      <c r="K26" s="7">
        <f>J26-2484306</f>
        <v>3638490</v>
      </c>
      <c r="L26" s="7">
        <v>10683407</v>
      </c>
      <c r="M26" s="7">
        <f>L26-2192646</f>
        <v>8490761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30116</v>
      </c>
      <c r="K27" s="53">
        <f>SUM(K28:K32)</f>
        <v>20356</v>
      </c>
      <c r="L27" s="53">
        <f>SUM(L28:L32)</f>
        <v>854108</v>
      </c>
      <c r="M27" s="53">
        <f>SUM(M28:M32)</f>
        <v>828887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f>1311+28469</f>
        <v>29780</v>
      </c>
      <c r="K29" s="7">
        <f>J29-9760</f>
        <v>20020</v>
      </c>
      <c r="L29" s="7">
        <f>317+806260</f>
        <v>806577</v>
      </c>
      <c r="M29" s="7">
        <f>L29-9586</f>
        <v>796991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336</v>
      </c>
      <c r="K32" s="7">
        <f>J32</f>
        <v>336</v>
      </c>
      <c r="L32" s="7">
        <v>47531</v>
      </c>
      <c r="M32" s="7">
        <f>L32-15635</f>
        <v>31896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3256713</v>
      </c>
      <c r="K33" s="53">
        <f>SUM(K34:K37)</f>
        <v>1660579</v>
      </c>
      <c r="L33" s="53">
        <f>SUM(L34:L37)</f>
        <v>3226679</v>
      </c>
      <c r="M33" s="53">
        <f>SUM(M34:M37)</f>
        <v>1585058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3256713</v>
      </c>
      <c r="K35" s="7">
        <f>J35-1596134</f>
        <v>1660579</v>
      </c>
      <c r="L35" s="7">
        <v>3226679</v>
      </c>
      <c r="M35" s="7">
        <f>L35-1641621</f>
        <v>1585058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63989830</v>
      </c>
      <c r="K42" s="53">
        <f>K7+K27+K38+K40</f>
        <v>39227303</v>
      </c>
      <c r="L42" s="53">
        <f>L7+L27+L38+L40</f>
        <v>69176974</v>
      </c>
      <c r="M42" s="53">
        <f>M7+M27+M38+M40</f>
        <v>41997399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65023922</v>
      </c>
      <c r="K43" s="53">
        <f>K10+K33+K39+K41</f>
        <v>38140563</v>
      </c>
      <c r="L43" s="53">
        <f>L10+L33+L39+L41</f>
        <v>73766049</v>
      </c>
      <c r="M43" s="53">
        <f>M10+M33+M39+M41</f>
        <v>44522631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-1034092</v>
      </c>
      <c r="K44" s="53">
        <f>K42-K43</f>
        <v>1086740</v>
      </c>
      <c r="L44" s="53">
        <f>L42-L43</f>
        <v>-4589075</v>
      </c>
      <c r="M44" s="53">
        <f>M42-M43</f>
        <v>-2525232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1086740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1034092</v>
      </c>
      <c r="K46" s="53">
        <f>IF(K43&gt;K42,K43-K42,0)</f>
        <v>0</v>
      </c>
      <c r="L46" s="53">
        <f>IF(L43&gt;L42,L43-L42,0)</f>
        <v>4589075</v>
      </c>
      <c r="M46" s="53">
        <f>IF(M43&gt;M42,M43-M42,0)</f>
        <v>2525232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-1034092</v>
      </c>
      <c r="K48" s="53">
        <f>K44-K47</f>
        <v>1086740</v>
      </c>
      <c r="L48" s="53">
        <f>L44-L47</f>
        <v>-4589075</v>
      </c>
      <c r="M48" s="53">
        <f>M44-M47</f>
        <v>-2525232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1086740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1034092</v>
      </c>
      <c r="K50" s="61">
        <f>IF(K48&lt;0,-K48,0)</f>
        <v>0</v>
      </c>
      <c r="L50" s="61">
        <f>IF(L48&lt;0,-L48,0)</f>
        <v>4589075</v>
      </c>
      <c r="M50" s="61">
        <f>IF(M48&lt;0,-M48,0)</f>
        <v>2525232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29:M33 J48:M50 K27:M27 M26 M11 M35 K22 K11 J7:M10 L12:M22 J12:K21 K23:L26 J22:J46 K28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-1034092</v>
      </c>
      <c r="K7" s="7">
        <v>-4589075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3340517</v>
      </c>
      <c r="K8" s="7">
        <v>3387982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15580795</v>
      </c>
      <c r="K9" s="7">
        <f>18357969-47339-K36+1000000</f>
        <v>7790325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>
        <f>825794-479079</f>
        <v>346715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>
        <f>622404+47339</f>
        <v>669743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17887220</v>
      </c>
      <c r="K13" s="53">
        <f>SUM(K7:K12)</f>
        <v>7605690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12889885</v>
      </c>
      <c r="K15" s="7">
        <f>9385317+622403+179281</f>
        <v>10187001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2390821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1800812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17081518</v>
      </c>
      <c r="K18" s="53">
        <f>SUM(K14:K17)</f>
        <v>10187001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805702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2581311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0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1807946</v>
      </c>
      <c r="K28" s="7">
        <f>1214133+332133-45000</f>
        <v>1501266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1807946</v>
      </c>
      <c r="K31" s="53">
        <f>SUM(K28:K30)</f>
        <v>1501266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1807946</v>
      </c>
      <c r="K33" s="53">
        <f>IF(K31&gt;K27,K31-K27,0)</f>
        <v>1501266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4998517</v>
      </c>
      <c r="K36" s="7">
        <f>3500000+8020305</f>
        <v>11520305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4998517</v>
      </c>
      <c r="K38" s="53">
        <f>SUM(K35:K37)</f>
        <v>11520305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4222817</v>
      </c>
      <c r="K39" s="7">
        <f>1000000+6617008</f>
        <v>7617008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0</v>
      </c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4222817</v>
      </c>
      <c r="K44" s="53">
        <f>SUM(K39:K43)</f>
        <v>7617008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775700</v>
      </c>
      <c r="K45" s="53">
        <f>IF(K38&gt;K44,K38-K44,0)</f>
        <v>3903297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226544</v>
      </c>
      <c r="K48" s="53">
        <f>IF(K20-K19+K33-K32+K46-K45&gt;0,K20-K19+K33-K32+K46-K45,0)</f>
        <v>179280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757301</v>
      </c>
      <c r="K49" s="7">
        <v>392755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226544</v>
      </c>
      <c r="K51" s="7">
        <v>179280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530757</v>
      </c>
      <c r="K52" s="61">
        <f>K49+K50-K51</f>
        <v>213475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9:K12 J49:K51 J22:K26 J7:K7 J35:K37 J39:K43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J8:K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57421875" style="76" bestFit="1" customWidth="1"/>
    <col min="10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41820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69918310</v>
      </c>
      <c r="K5" s="45">
        <v>69918310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-1615135</v>
      </c>
      <c r="K8" s="46">
        <v>-3099123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-2120832</v>
      </c>
      <c r="K9" s="53">
        <v>-4589075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66182343</v>
      </c>
      <c r="K14" s="79">
        <f>SUM(K5:K13)</f>
        <v>62230112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8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2014-08-01T12:42:44Z</cp:lastPrinted>
  <dcterms:created xsi:type="dcterms:W3CDTF">2008-10-17T11:51:54Z</dcterms:created>
  <dcterms:modified xsi:type="dcterms:W3CDTF">2014-08-01T12:53:05Z</dcterms:modified>
  <cp:category/>
  <cp:version/>
  <cp:contentType/>
  <cp:contentStatus/>
</cp:coreProperties>
</file>