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<sst xmlns="http://schemas.openxmlformats.org/spreadsheetml/2006/main" count="395" uniqueCount="342">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</sst>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view="pageBreakPreview" zoomScale="110" zoomScaleSheetLayoutView="110" zoomScalePageLayoutView="0" workbookViewId="0" topLeftCell="A37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5.00390625" style="11" bestFit="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23000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520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13</v>
      </c>
      <c r="D24" s="152" t="s">
        <v>331</v>
      </c>
      <c r="E24" s="163"/>
      <c r="F24" s="163"/>
      <c r="G24" s="164"/>
      <c r="H24" s="51" t="s">
        <v>261</v>
      </c>
      <c r="I24" s="122">
        <v>135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333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view="pageBreakPreview" zoomScale="110" zoomScaleSheetLayoutView="110" zoomScalePageLayoutView="0" workbookViewId="0" topLeftCell="A67">
      <selection activeCell="G126" sqref="G126"/>
    </sheetView>
  </sheetViews>
  <sheetFormatPr defaultColWidth="9.140625" defaultRowHeight="12.75"/>
  <cols>
    <col min="1" max="8" width="9.140625" style="52" customWidth="1"/>
    <col min="9" max="9" width="5.57421875" style="52" bestFit="1" customWidth="1"/>
    <col min="10" max="10" width="9.851562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135899688</v>
      </c>
      <c r="K8" s="53">
        <f>K9+K16+K26+K35+K39</f>
        <v>135365157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865756</v>
      </c>
      <c r="K9" s="53">
        <f>SUM(K10:K15)</f>
        <v>865756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0</v>
      </c>
      <c r="K11" s="7">
        <v>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865756</v>
      </c>
      <c r="K14" s="7">
        <v>865756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135011932</v>
      </c>
      <c r="K16" s="53">
        <f>SUM(K17:K25)</f>
        <v>134477401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30056155</v>
      </c>
      <c r="K17" s="7">
        <v>30056155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f>82994996-49061481</f>
        <v>33933515</v>
      </c>
      <c r="K18" s="7">
        <f>82994996-50573789</f>
        <v>32421207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f>54837882-34462453</f>
        <v>20375429</v>
      </c>
      <c r="K19" s="7">
        <f>55284715-37796084</f>
        <v>17488631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f>81735031-54837882-104899566+49061481+34462453+1171218+11800</f>
        <v>6704535</v>
      </c>
      <c r="K20" s="7">
        <f>82651923-55284715-111590218+50573789+37796084+2066374+11800</f>
        <v>6225037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f>43614616-1171217</f>
        <v>42443399</v>
      </c>
      <c r="K21" s="7">
        <f>48187442-2066374</f>
        <v>46121068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f>510884+988015</f>
        <v>1498899</v>
      </c>
      <c r="K23" s="7">
        <f>447433+1717870</f>
        <v>2165303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22000</v>
      </c>
      <c r="K26" s="53">
        <f>SUM(K27:K34)</f>
        <v>22000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22000</v>
      </c>
      <c r="K29" s="7">
        <v>22000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91884493</v>
      </c>
      <c r="K40" s="53">
        <f>K41+K49+K56+K64</f>
        <v>98582565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53195718</v>
      </c>
      <c r="K41" s="53">
        <f>SUM(K42:K48)</f>
        <v>56865817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14682457</v>
      </c>
      <c r="K42" s="7">
        <v>13195910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f>2927200+6570766+2000000+173634</f>
        <v>11671600</v>
      </c>
      <c r="K43" s="7">
        <f>1616602+9586090</f>
        <v>11202692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f>28183180-540181-2000000</f>
        <v>25642999</v>
      </c>
      <c r="K44" s="7">
        <f>31273685-205601</f>
        <v>31068084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f>797660+34350+105+540181-173634</f>
        <v>1198662</v>
      </c>
      <c r="K45" s="7">
        <f>205601+34470+104+1158956</f>
        <v>1399131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36772341</v>
      </c>
      <c r="K49" s="53">
        <f>SUM(K50:K55)</f>
        <v>40396986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f>40714740+2562342-8303398</f>
        <v>34973684</v>
      </c>
      <c r="K51" s="7">
        <f>43170098+3762253-8300218</f>
        <v>38632133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f>163881+63152</f>
        <v>227033</v>
      </c>
      <c r="K53" s="7">
        <f>63153+183765</f>
        <v>246918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f>86012+89849</f>
        <v>175861</v>
      </c>
      <c r="K54" s="7">
        <f>25518+96654</f>
        <v>122172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1395763</v>
      </c>
      <c r="K55" s="7">
        <v>1395763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1311999</v>
      </c>
      <c r="K56" s="53">
        <f>SUM(K57:K63)</f>
        <v>1172846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1311999</v>
      </c>
      <c r="K62" s="7">
        <v>1172846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604435</v>
      </c>
      <c r="K64" s="7">
        <v>146916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13558365</v>
      </c>
      <c r="K65" s="7">
        <v>16704520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241342546</v>
      </c>
      <c r="K66" s="53">
        <f>K7+K8+K40+K65</f>
        <v>250652242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66182343</v>
      </c>
      <c r="K69" s="54">
        <f>K70+K71+K72+K78+K79+K82+K85</f>
        <v>64752159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69918310</v>
      </c>
      <c r="K70" s="7">
        <v>69918310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-1615135</v>
      </c>
      <c r="K79" s="53">
        <f>K80-K81</f>
        <v>-3102308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1615135</v>
      </c>
      <c r="K81" s="7">
        <f>1615135+1487173</f>
        <v>3102308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-2120832</v>
      </c>
      <c r="K82" s="53">
        <f>K83-K84</f>
        <v>-2063843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2120832</v>
      </c>
      <c r="K84" s="7">
        <v>2063843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73009688</v>
      </c>
      <c r="K90" s="53">
        <f>SUM(K91:K99)</f>
        <v>60925625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73009688</v>
      </c>
      <c r="K93" s="7">
        <v>60925625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97847666</v>
      </c>
      <c r="K100" s="53">
        <f>SUM(K101:K112)</f>
        <v>122911669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33123810</v>
      </c>
      <c r="K102" s="7">
        <v>55473090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10750261</v>
      </c>
      <c r="K103" s="7">
        <v>14788343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567111</v>
      </c>
      <c r="K104" s="7">
        <v>579394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f>29696940+3751773-574195</f>
        <v>32874518</v>
      </c>
      <c r="K105" s="7">
        <f>25912672+3945900-574195</f>
        <v>29284377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f>65922+551219</f>
        <v>617141</v>
      </c>
      <c r="K108" s="7">
        <f>68890+558163</f>
        <v>627053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f>996+1637815+8567162-78685+3073201+4964906+2300649-551219</f>
        <v>19914825</v>
      </c>
      <c r="K109" s="7">
        <f>707818+6634706+17611+5268507+8635245+876154+19369+2</f>
        <v>22159412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4302849</v>
      </c>
      <c r="K113" s="7">
        <v>2062789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241342546</v>
      </c>
      <c r="K114" s="53">
        <f>K69+K86+K90+K100+K113</f>
        <v>250652242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71"/>
  <sheetViews>
    <sheetView view="pageBreakPreview" zoomScale="110" zoomScaleSheetLayoutView="110" zoomScalePageLayoutView="0" workbookViewId="0" topLeftCell="A10">
      <selection activeCell="L14" sqref="L14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24752767</v>
      </c>
      <c r="K7" s="54">
        <f>SUM(K8:K9)</f>
        <v>24752767</v>
      </c>
      <c r="L7" s="54">
        <f>SUM(L8:L9)</f>
        <v>27154354</v>
      </c>
      <c r="M7" s="54">
        <f>SUM(M8:M9)</f>
        <v>27154354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f>23275427+1312982</f>
        <v>24588409</v>
      </c>
      <c r="K8" s="7">
        <f>J8</f>
        <v>24588409</v>
      </c>
      <c r="L8" s="7">
        <f>26514369+485981</f>
        <v>27000350</v>
      </c>
      <c r="M8" s="7">
        <f>L8</f>
        <v>27000350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164358</v>
      </c>
      <c r="K9" s="7">
        <f>J9</f>
        <v>164358</v>
      </c>
      <c r="L9" s="7">
        <v>154004</v>
      </c>
      <c r="M9" s="7">
        <f>L9</f>
        <v>154004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25287225</v>
      </c>
      <c r="K10" s="53">
        <f>K11+K12+K16+K20+K21+K22+K25+K26</f>
        <v>25287225</v>
      </c>
      <c r="L10" s="53">
        <f>L11+L12+L16+L20+L21+L22+L25+L26</f>
        <v>27601797</v>
      </c>
      <c r="M10" s="53">
        <f>M11+M12+M16+M20+M21+M22+M25+M26</f>
        <v>27601797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f>-(16970902-13621327)</f>
        <v>-3349575</v>
      </c>
      <c r="K11" s="7">
        <f>J11</f>
        <v>-3349575</v>
      </c>
      <c r="L11" s="7">
        <f>17299127-17796528</f>
        <v>-497401</v>
      </c>
      <c r="M11" s="7">
        <f>L11</f>
        <v>-497401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19381628</v>
      </c>
      <c r="K12" s="53">
        <f>SUM(K13:K15)</f>
        <v>19381628</v>
      </c>
      <c r="L12" s="53">
        <f>SUM(L13:L15)</f>
        <v>18846905</v>
      </c>
      <c r="M12" s="53">
        <f>SUM(M13:M15)</f>
        <v>18846905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f>14293359+4511</f>
        <v>14297870</v>
      </c>
      <c r="K13" s="7">
        <f>J13</f>
        <v>14297870</v>
      </c>
      <c r="L13" s="7">
        <f>13946834+6793</f>
        <v>13953627</v>
      </c>
      <c r="M13" s="7">
        <f>L13</f>
        <v>13953627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1169892</v>
      </c>
      <c r="K14" s="7">
        <f>J14</f>
        <v>1169892</v>
      </c>
      <c r="L14" s="7">
        <v>436355</v>
      </c>
      <c r="M14" s="7">
        <f>L14</f>
        <v>436355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f>4016287+6300-108721</f>
        <v>3913866</v>
      </c>
      <c r="K15" s="7">
        <f>J15</f>
        <v>3913866</v>
      </c>
      <c r="L15" s="7">
        <f>4557025+25935-126037</f>
        <v>4456923</v>
      </c>
      <c r="M15" s="7">
        <f>L15</f>
        <v>4456923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2714085</v>
      </c>
      <c r="K16" s="53">
        <f>SUM(K17:K19)</f>
        <v>2714085</v>
      </c>
      <c r="L16" s="53">
        <f>SUM(L17:L19)</f>
        <v>2803597</v>
      </c>
      <c r="M16" s="53">
        <f>SUM(M17:M19)</f>
        <v>2803597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1672766</v>
      </c>
      <c r="K17" s="7">
        <f>J17</f>
        <v>1672766</v>
      </c>
      <c r="L17" s="7">
        <v>1727162</v>
      </c>
      <c r="M17" s="7">
        <f>L17</f>
        <v>1727162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f>212015+471196</f>
        <v>683211</v>
      </c>
      <c r="K18" s="7">
        <f>J18</f>
        <v>683211</v>
      </c>
      <c r="L18" s="7">
        <f>219780+486736</f>
        <v>706516</v>
      </c>
      <c r="M18" s="7">
        <f>L18</f>
        <v>706516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358108</v>
      </c>
      <c r="K19" s="7">
        <f>J19</f>
        <v>358108</v>
      </c>
      <c r="L19" s="7">
        <v>369919</v>
      </c>
      <c r="M19" s="7">
        <f>L19</f>
        <v>369919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1670850</v>
      </c>
      <c r="K20" s="7">
        <f>J20</f>
        <v>1670850</v>
      </c>
      <c r="L20" s="7">
        <v>1697410</v>
      </c>
      <c r="M20" s="7">
        <f>L20</f>
        <v>1697410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f>108721+2272210+5000</f>
        <v>2385931</v>
      </c>
      <c r="K21" s="7">
        <f>J21</f>
        <v>2385931</v>
      </c>
      <c r="L21" s="7">
        <f>126037+2426603+3000+3000</f>
        <v>2558640</v>
      </c>
      <c r="M21" s="7">
        <f>L21</f>
        <v>2558640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2484306</v>
      </c>
      <c r="K26" s="7">
        <f>J26</f>
        <v>2484306</v>
      </c>
      <c r="L26" s="7">
        <v>2192646</v>
      </c>
      <c r="M26" s="7">
        <f>L26</f>
        <v>2192646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9760</v>
      </c>
      <c r="K27" s="53">
        <f>SUM(K28:K32)</f>
        <v>9760</v>
      </c>
      <c r="L27" s="53">
        <f>SUM(L28:L32)</f>
        <v>25221</v>
      </c>
      <c r="M27" s="53">
        <f>SUM(M28:M32)</f>
        <v>25221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f>1078+9260-578</f>
        <v>9760</v>
      </c>
      <c r="K29" s="7">
        <f>J29</f>
        <v>9760</v>
      </c>
      <c r="L29" s="7">
        <f>25221-15635</f>
        <v>9586</v>
      </c>
      <c r="M29" s="7">
        <f>L29</f>
        <v>9586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0</v>
      </c>
      <c r="K32" s="7">
        <f>J32</f>
        <v>0</v>
      </c>
      <c r="L32" s="7">
        <v>15635</v>
      </c>
      <c r="M32" s="7">
        <f>L32</f>
        <v>15635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1596134</v>
      </c>
      <c r="K33" s="53">
        <f>SUM(K34:K37)</f>
        <v>1596134</v>
      </c>
      <c r="L33" s="53">
        <f>SUM(L34:L37)</f>
        <v>1641621</v>
      </c>
      <c r="M33" s="53">
        <f>SUM(M34:M37)</f>
        <v>1641621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1596134</v>
      </c>
      <c r="K35" s="7">
        <f>J35</f>
        <v>1596134</v>
      </c>
      <c r="L35" s="7">
        <v>1641621</v>
      </c>
      <c r="M35" s="7">
        <f>L35</f>
        <v>1641621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24762527</v>
      </c>
      <c r="K42" s="53">
        <f>K7+K27+K38+K40</f>
        <v>24762527</v>
      </c>
      <c r="L42" s="53">
        <f>L7+L27+L38+L40</f>
        <v>27179575</v>
      </c>
      <c r="M42" s="53">
        <f>M7+M27+M38+M40</f>
        <v>27179575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26883359</v>
      </c>
      <c r="K43" s="53">
        <f>K10+K33+K39+K41</f>
        <v>26883359</v>
      </c>
      <c r="L43" s="53">
        <f>L10+L33+L39+L41</f>
        <v>29243418</v>
      </c>
      <c r="M43" s="53">
        <f>M10+M33+M39+M41</f>
        <v>29243418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-2120832</v>
      </c>
      <c r="K44" s="53">
        <f>K42-K43</f>
        <v>-2120832</v>
      </c>
      <c r="L44" s="53">
        <f>L42-L43</f>
        <v>-2063843</v>
      </c>
      <c r="M44" s="53">
        <f>M42-M43</f>
        <v>-2063843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2120832</v>
      </c>
      <c r="K46" s="53">
        <f>IF(K43&gt;K42,K43-K42,0)</f>
        <v>2120832</v>
      </c>
      <c r="L46" s="53">
        <f>IF(L43&gt;L42,L43-L42,0)</f>
        <v>2063843</v>
      </c>
      <c r="M46" s="53">
        <f>IF(M43&gt;M42,M43-M42,0)</f>
        <v>2063843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-2120832</v>
      </c>
      <c r="K48" s="53">
        <f>K44-K47</f>
        <v>-2120832</v>
      </c>
      <c r="L48" s="53">
        <f>L44-L47</f>
        <v>-2063843</v>
      </c>
      <c r="M48" s="53">
        <f>M44-M47</f>
        <v>-2063843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2120832</v>
      </c>
      <c r="K50" s="61">
        <f>IF(K48&lt;0,-K48,0)</f>
        <v>2120832</v>
      </c>
      <c r="L50" s="61">
        <f>IF(L48&lt;0,-L48,0)</f>
        <v>2063843</v>
      </c>
      <c r="M50" s="61">
        <f>IF(M48&lt;0,-M48,0)</f>
        <v>2063843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29:M33 J48:M50 K27:M27 M26 M11 M35 J7:M10 K23:L26 K28:L41 K12:M22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-2120832</v>
      </c>
      <c r="K7" s="7">
        <v>-2063843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1670850</v>
      </c>
      <c r="K8" s="7">
        <v>1697410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f>5673967-875393-1000000</f>
        <v>3798574</v>
      </c>
      <c r="K9" s="7">
        <f>6647564-1221399-K36</f>
        <v>5426165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/>
      <c r="K11" s="7">
        <f>1647300-461090</f>
        <v>1186210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/>
      <c r="K12" s="7">
        <f>1221399-109572</f>
        <v>1111827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3348592</v>
      </c>
      <c r="K13" s="53">
        <f>SUM(K7:K12)</f>
        <v>7357769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f>1634999-1534354+152866</f>
        <v>253511</v>
      </c>
      <c r="K15" s="7">
        <f>3234335-109572+245839</f>
        <v>3370602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f>-1161907+3313123</f>
        <v>2151216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f>1534354-875393</f>
        <v>658961</v>
      </c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3063688</v>
      </c>
      <c r="K18" s="53">
        <f>SUM(K14:K17)</f>
        <v>3370602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284904</v>
      </c>
      <c r="K19" s="53">
        <f>IF(K13&gt;K18,K13-K18,0)</f>
        <v>3987167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0</v>
      </c>
      <c r="K22" s="7">
        <v>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f>510884+78027+84000</f>
        <v>672911</v>
      </c>
      <c r="K28" s="7">
        <f>447433+238997-45000</f>
        <v>641430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672911</v>
      </c>
      <c r="K31" s="53">
        <f>SUM(K28:K30)</f>
        <v>641430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672911</v>
      </c>
      <c r="K33" s="53">
        <f>IF(K31&gt;K27,K31-K27,0)</f>
        <v>641430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7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1000000</v>
      </c>
      <c r="K36" s="7">
        <v>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1000000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764859</v>
      </c>
      <c r="K39" s="7">
        <f>3591576-468680</f>
        <v>3122896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>
        <v>0</v>
      </c>
      <c r="K41" s="7">
        <v>468680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764859</v>
      </c>
      <c r="K44" s="53">
        <f>SUM(K39:K43)</f>
        <v>3591576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235141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3591576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152866</v>
      </c>
      <c r="K48" s="53">
        <f>IF(K20-K19+K33-K32+K46-K45&gt;0,K20-K19+K33-K32+K46-K45,0)</f>
        <v>245839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757301</v>
      </c>
      <c r="K49" s="7">
        <v>392755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152866</v>
      </c>
      <c r="K51" s="7">
        <v>245839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604435</v>
      </c>
      <c r="K52" s="61">
        <f>K49+K50-K51</f>
        <v>146916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8:K30 J14:K17 J49:K51 J22:K26 J7:K7 J35:K37 J9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J8:K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tabSelected="1"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6.57421875" style="76" bestFit="1" customWidth="1"/>
    <col min="10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41640</v>
      </c>
      <c r="F2" s="43" t="s">
        <v>250</v>
      </c>
      <c r="G2" s="285">
        <v>41729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69918310</v>
      </c>
      <c r="K5" s="45">
        <v>69918310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-1615135</v>
      </c>
      <c r="K8" s="46">
        <v>-3102308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-2120832</v>
      </c>
      <c r="K9" s="46">
        <v>-2063843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66182343</v>
      </c>
      <c r="K14" s="79">
        <f>SUM(K5:K13)</f>
        <v>64752159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GRAVICZ</cp:lastModifiedBy>
  <cp:lastPrinted>2014-05-02T05:55:13Z</cp:lastPrinted>
  <dcterms:created xsi:type="dcterms:W3CDTF">2008-10-17T11:51:54Z</dcterms:created>
  <dcterms:modified xsi:type="dcterms:W3CDTF">2014-05-02T07:50:34Z</dcterms:modified>
  <cp:category/>
  <cp:version/>
  <cp:contentType/>
  <cp:contentStatus/>
</cp:coreProperties>
</file>