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saveExternalLinkValues="0" codeName="ThisWorkbook" defaultThemeVersion="124226"/>
  <bookViews>
    <workbookView xWindow="0" yWindow="15" windowWidth="12165" windowHeight="8175" activeTab="3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PODACI'!$A$1:$I$63</definedName>
    <definedName name="_xlnm.Print_Area" localSheetId="5">PK!$A$1:$K$25</definedName>
  </definedNames>
  <calcPr calcId="125725"/>
</workbook>
</file>

<file path=xl/calcChain.xml><?xml version="1.0" encoding="utf-8"?>
<calcChain xmlns="http://schemas.openxmlformats.org/spreadsheetml/2006/main">
  <c r="K17" i="20"/>
  <c r="K28"/>
  <c r="K15"/>
  <c r="K16"/>
  <c r="K41"/>
  <c r="K39"/>
  <c r="K36"/>
  <c r="K9"/>
  <c r="L26" i="18"/>
  <c r="L11"/>
  <c r="K65" i="19"/>
  <c r="K66"/>
  <c r="K81"/>
  <c r="K84"/>
  <c r="K109"/>
  <c r="K108" l="1"/>
  <c r="K105"/>
  <c r="K51"/>
  <c r="L29" i="18"/>
  <c r="L21"/>
  <c r="L18"/>
  <c r="L15"/>
  <c r="L13"/>
  <c r="M11"/>
  <c r="L9"/>
  <c r="L8"/>
  <c r="M35"/>
  <c r="M29"/>
  <c r="M26"/>
  <c r="M21"/>
  <c r="M20"/>
  <c r="M19"/>
  <c r="M18"/>
  <c r="M17"/>
  <c r="M15"/>
  <c r="M14"/>
  <c r="M13"/>
  <c r="M9"/>
  <c r="M8"/>
  <c r="K35"/>
  <c r="K32"/>
  <c r="K29"/>
  <c r="K26"/>
  <c r="K21"/>
  <c r="K20"/>
  <c r="K19"/>
  <c r="K18"/>
  <c r="K17"/>
  <c r="K15"/>
  <c r="K14"/>
  <c r="K13"/>
  <c r="K12"/>
  <c r="K11"/>
  <c r="K9"/>
  <c r="K8"/>
  <c r="J31" i="20" l="1"/>
  <c r="J79" i="19"/>
  <c r="J66"/>
  <c r="K43"/>
  <c r="K44"/>
  <c r="K54" l="1"/>
  <c r="K53"/>
  <c r="K45"/>
  <c r="K19"/>
  <c r="K21"/>
  <c r="K20"/>
  <c r="K18"/>
  <c r="M32" i="18"/>
  <c r="K33" l="1"/>
  <c r="L33"/>
  <c r="M33"/>
  <c r="J82" i="19"/>
  <c r="K57" i="18"/>
  <c r="K66"/>
  <c r="K67"/>
  <c r="L57"/>
  <c r="L66"/>
  <c r="L67"/>
  <c r="M57"/>
  <c r="M66" s="1"/>
  <c r="M67" s="1"/>
  <c r="K22"/>
  <c r="L7"/>
  <c r="L27"/>
  <c r="L12"/>
  <c r="L16"/>
  <c r="L22"/>
  <c r="M7"/>
  <c r="M27"/>
  <c r="M12"/>
  <c r="M22"/>
  <c r="K53" i="21"/>
  <c r="J53"/>
  <c r="K19"/>
  <c r="K12"/>
  <c r="K21"/>
  <c r="K20"/>
  <c r="K32"/>
  <c r="K28"/>
  <c r="K34"/>
  <c r="K33"/>
  <c r="K45"/>
  <c r="K39"/>
  <c r="K47"/>
  <c r="K46"/>
  <c r="J19"/>
  <c r="J12"/>
  <c r="J21"/>
  <c r="J20"/>
  <c r="J32"/>
  <c r="J28"/>
  <c r="J34"/>
  <c r="J33"/>
  <c r="J45"/>
  <c r="J46"/>
  <c r="J39"/>
  <c r="J47"/>
  <c r="K52" i="20"/>
  <c r="K18"/>
  <c r="K13"/>
  <c r="K31"/>
  <c r="K27"/>
  <c r="K44"/>
  <c r="K38"/>
  <c r="J18"/>
  <c r="J20" s="1"/>
  <c r="J13"/>
  <c r="J27"/>
  <c r="J44"/>
  <c r="J38"/>
  <c r="K72" i="19"/>
  <c r="K79"/>
  <c r="K82"/>
  <c r="K69" s="1"/>
  <c r="K86"/>
  <c r="K90"/>
  <c r="K100"/>
  <c r="J72"/>
  <c r="J69"/>
  <c r="J86"/>
  <c r="J90"/>
  <c r="J100"/>
  <c r="K9"/>
  <c r="K16"/>
  <c r="K26"/>
  <c r="K35"/>
  <c r="K41"/>
  <c r="K49"/>
  <c r="K56"/>
  <c r="J16"/>
  <c r="J8" s="1"/>
  <c r="J26"/>
  <c r="J35"/>
  <c r="J41"/>
  <c r="J49"/>
  <c r="J56"/>
  <c r="J12" i="18"/>
  <c r="J57"/>
  <c r="J66"/>
  <c r="J67"/>
  <c r="J7"/>
  <c r="J27"/>
  <c r="J42" s="1"/>
  <c r="J16"/>
  <c r="J10" s="1"/>
  <c r="J22"/>
  <c r="J33"/>
  <c r="J14" i="17"/>
  <c r="K14"/>
  <c r="J21"/>
  <c r="K21"/>
  <c r="K45" i="20"/>
  <c r="K46"/>
  <c r="K20"/>
  <c r="J32"/>
  <c r="J46"/>
  <c r="J33"/>
  <c r="K19"/>
  <c r="L10" i="18"/>
  <c r="L43" s="1"/>
  <c r="L42"/>
  <c r="J49" i="21"/>
  <c r="J48"/>
  <c r="K49"/>
  <c r="K48"/>
  <c r="K32" i="20"/>
  <c r="M16" i="18"/>
  <c r="M10" s="1"/>
  <c r="M43" s="1"/>
  <c r="K33" i="20"/>
  <c r="K27" i="18"/>
  <c r="J114" i="19"/>
  <c r="J40"/>
  <c r="M42" i="18"/>
  <c r="K8" i="19"/>
  <c r="K16" i="18"/>
  <c r="K10" s="1"/>
  <c r="K43" s="1"/>
  <c r="K7"/>
  <c r="K42" l="1"/>
  <c r="K46" s="1"/>
  <c r="J45" i="20"/>
  <c r="J19"/>
  <c r="J48" s="1"/>
  <c r="J43" i="18"/>
  <c r="J46" s="1"/>
  <c r="J45"/>
  <c r="K47" i="20"/>
  <c r="K48"/>
  <c r="J52" s="1"/>
  <c r="L44" i="18"/>
  <c r="L48" s="1"/>
  <c r="L46"/>
  <c r="L45"/>
  <c r="M45"/>
  <c r="M46"/>
  <c r="M44"/>
  <c r="M48" s="1"/>
  <c r="K114" i="19"/>
  <c r="K40"/>
  <c r="K44" i="18" l="1"/>
  <c r="K48" s="1"/>
  <c r="K45"/>
  <c r="K50"/>
  <c r="K49"/>
  <c r="J47" i="20"/>
  <c r="J44" i="18"/>
  <c r="J48" s="1"/>
  <c r="J50" s="1"/>
  <c r="J49"/>
  <c r="L49"/>
  <c r="L50"/>
  <c r="M50"/>
  <c r="M49"/>
</calcChain>
</file>

<file path=xl/sharedStrings.xml><?xml version="1.0" encoding="utf-8"?>
<sst xmlns="http://schemas.openxmlformats.org/spreadsheetml/2006/main" count="395" uniqueCount="342">
  <si>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</si>
  <si>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</si>
  <si>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</si>
  <si>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</si>
  <si>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</si>
  <si>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</si>
  <si>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</si>
  <si>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</si>
  <si>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</si>
  <si>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</si>
  <si>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</si>
  <si>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</si>
  <si>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</si>
  <si>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</si>
  <si>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</si>
  <si>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</si>
  <si>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</si>
  <si>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</si>
  <si>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</si>
  <si>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</si>
  <si>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</si>
  <si>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</si>
  <si>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</si>
  <si>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</si>
  <si>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</si>
  <si>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</si>
  <si>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</si>
  <si>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</si>
  <si>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</si>
  <si>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</si>
  <si>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</si>
  <si>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</si>
  <si>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</si>
  <si>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</si>
  <si>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</si>
  <si>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</si>
  <si>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</si>
  <si>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</si>
  <si>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</si>
  <si>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</si>
  <si>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</si>
  <si>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</si>
  <si>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</si>
  <si>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</si>
  <si>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</si>
  <si>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</si>
  <si>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</si>
  <si>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</si>
  <si>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</si>
  <si>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</si>
  <si>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</si>
  <si>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</si>
  <si>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</si>
  <si>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</si>
  <si>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</si>
  <si>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</si>
  <si>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</si>
  <si>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</si>
  <si>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</si>
  <si>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</si>
  <si>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</si>
  <si>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</si>
  <si>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</si>
  <si>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</si>
  <si>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</si>
  <si>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</si>
  <si>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</si>
  <si>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</si>
  <si>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</si>
  <si>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</si>
  <si>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</si>
  <si>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</si>
  <si>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</si>
  <si>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</si>
  <si>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</si>
  <si>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</si>
  <si>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</si>
  <si>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</si>
  <si>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</si>
  <si>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</si>
  <si>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</si>
  <si>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</si>
  <si>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</si>
  <si>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</si>
  <si>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</si>
  <si>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</si>
  <si>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</si>
  <si>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</si>
  <si>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</si>
  <si>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</si>
  <si>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</si>
  <si>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</si>
  <si>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</si>
  <si>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</si>
  <si>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</si>
  <si>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</si>
  <si>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</si>
  <si>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</si>
  <si>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</si>
  <si>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</si>
  <si>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</si>
  <si>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</si>
  <si>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</si>
  <si>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</si>
  <si>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</si>
  <si>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</si>
  <si>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</si>
  <si>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</si>
  <si>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</si>
  <si>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</si>
  <si>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</si>
  <si>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</si>
  <si>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</si>
  <si>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</si>
  <si>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</si>
  <si>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</si>
  <si>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</si>
  <si>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</si>
  <si>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</si>
  <si>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</si>
  <si>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</si>
  <si>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</si>
  <si>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</si>
  <si>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</si>
  <si>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</si>
  <si>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</si>
  <si>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</si>
  <si>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</si>
  <si>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</si>
  <si>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</si>
  <si>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</si>
  <si>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</si>
  <si>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</si>
  <si>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</si>
  <si>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</si>
  <si>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</si>
  <si>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</si>
  <si>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</si>
  <si>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</si>
  <si>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</si>
  <si>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</si>
  <si>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</si>
  <si>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</si>
  <si>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</si>
  <si>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</si>
  <si>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</si>
  <si>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</si>
  <si>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</si>
  <si>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</si>
  <si>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</si>
  <si>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</si>
  <si>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</si>
  <si>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</si>
  <si>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</si>
  <si>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</si>
  <si>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</si>
  <si>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</si>
  <si>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</si>
  <si>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</si>
  <si>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</si>
  <si>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</si>
  <si>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</si>
  <si>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</si>
  <si>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</si>
  <si>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</si>
  <si>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</si>
  <si>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</si>
  <si>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</si>
  <si>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</si>
  <si>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</si>
  <si>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</si>
  <si>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</si>
  <si>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</si>
  <si>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</si>
  <si>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</si>
  <si>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</si>
  <si>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</si>
  <si>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</si>
  <si>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</si>
  <si>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</si>
  <si>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</si>
  <si>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</si>
  <si>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</si>
  <si>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</si>
  <si>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</si>
  <si>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</si>
  <si>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</si>
  <si>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</si>
  <si>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</si>
  <si>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</si>
  <si>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</si>
  <si>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</si>
  <si>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</si>
  <si>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</si>
  <si>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</si>
  <si>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</si>
  <si>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</si>
  <si>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</si>
  <si>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</si>
  <si>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</si>
  <si>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</si>
  <si>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</si>
  <si>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</si>
  <si>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</si>
  <si>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</si>
  <si>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</si>
  <si>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</si>
  <si>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</si>
  <si>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</si>
  <si>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</si>
  <si>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</si>
  <si>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</si>
  <si>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</si>
  <si>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</si>
  <si>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</si>
  <si>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</si>
  <si>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</si>
  <si>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</si>
  <si>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</si>
  <si>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</si>
  <si>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</si>
  <si>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</si>
  <si>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</si>
  <si>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</si>
  <si>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</si>
  <si>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</si>
  <si>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</si>
  <si>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</si>
  <si>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</si>
  <si>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</si>
  <si>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</si>
  <si>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</si>
  <si>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</si>
  <si>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</si>
  <si>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</si>
  <si>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</si>
  <si>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</si>
  <si>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</si>
  <si>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</si>
  <si>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</si>
  <si>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</si>
  <si>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</si>
  <si>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</si>
  <si>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</si>
  <si>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</si>
  <si>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</si>
  <si>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</si>
  <si>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</si>
  <si>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</si>
  <si>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</si>
  <si>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</si>
  <si>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</si>
  <si>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</si>
  <si>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</si>
  <si>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</si>
  <si>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</si>
  <si>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</si>
  <si>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</si>
  <si>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</si>
  <si>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</si>
  <si>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</si>
  <si>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</si>
  <si>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</si>
  <si>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</si>
  <si>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</si>
  <si>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</si>
  <si>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</si>
  <si>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</si>
  <si>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</si>
  <si>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</si>
  <si>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</si>
  <si>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</si>
  <si>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</si>
  <si>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</si>
  <si>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</si>
  <si>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</si>
  <si>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</si>
  <si>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</si>
  <si>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</si>
  <si>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</si>
  <si>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</si>
  <si>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</si>
  <si>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</si>
  <si>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</si>
  <si>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</si>
  <si>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</si>
  <si>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</si>
  <si>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</si>
  <si>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</si>
  <si>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</si>
  <si>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</si>
  <si>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</si>
  <si>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</si>
  <si>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</si>
  <si>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</si>
  <si>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</si>
  <si>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</si>
  <si>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</si>
  <si>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</si>
  <si>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</si>
  <si>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</si>
  <si>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</si>
  <si>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</si>
  <si>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</si>
  <si>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</si>
  <si>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</si>
  <si>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</si>
  <si>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</si>
  <si>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</si>
  <si>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</si>
  <si>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</si>
  <si>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</si>
  <si>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</si>
  <si>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</si>
  <si>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</si>
  <si>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</si>
  <si>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</si>
  <si>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</si>
  <si>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</si>
  <si>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</si>
  <si>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</si>
  <si>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</si>
  <si>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</si>
  <si>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03112322</t>
  </si>
  <si>
    <t>060007362</t>
  </si>
  <si>
    <t>07602786563</t>
  </si>
  <si>
    <t>MARASKA d.d.</t>
  </si>
  <si>
    <t>ZADAR</t>
  </si>
  <si>
    <t>BIOGRADSKA CESTA 64A</t>
  </si>
  <si>
    <t>maraska@maraska.hr</t>
  </si>
  <si>
    <t>www.maraska.hr</t>
  </si>
  <si>
    <t>ZADARSKA</t>
  </si>
  <si>
    <t>1101</t>
  </si>
  <si>
    <t>NE</t>
  </si>
  <si>
    <t>ŽELJKO GRAVIĆ</t>
  </si>
  <si>
    <t>023/208-805</t>
  </si>
  <si>
    <t>023/208-803</t>
  </si>
  <si>
    <t>zeljko.gravic@maraska.hr</t>
  </si>
  <si>
    <t>VANDRI MONTABELO, PREDSJEDNIK UPRAVE</t>
  </si>
  <si>
    <t>Obveznik: MARASKA D.D.</t>
  </si>
  <si>
    <t>stanje na dan 31.12.2013.</t>
  </si>
  <si>
    <t>u razdoblju 01.01.2013. do 31.12.2013.</t>
  </si>
</sst>
</file>

<file path=xl/styles.xml><?xml version="1.0" encoding="utf-8"?>
<styleSheet xmlns="http://schemas.openxmlformats.org/spreadsheetml/2006/main">
  <numFmts count="1">
    <numFmt numFmtId="164" formatCode="000"/>
  </numFmts>
  <fonts count="29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93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2" applyFont="1" applyAlignment="1"/>
    <xf numFmtId="0" fontId="1" fillId="0" borderId="0" xfId="2" applyFont="1" applyAlignment="1"/>
    <xf numFmtId="0" fontId="7" fillId="0" borderId="7" xfId="2" applyFont="1" applyFill="1" applyBorder="1" applyAlignment="1" applyProtection="1">
      <alignment horizontal="center" vertical="center"/>
      <protection locked="0" hidden="1"/>
    </xf>
    <xf numFmtId="0" fontId="4" fillId="0" borderId="0" xfId="2" applyFont="1" applyFill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0" fontId="5" fillId="0" borderId="0" xfId="2" applyFont="1" applyFill="1" applyBorder="1" applyAlignment="1" applyProtection="1">
      <alignment horizontal="center" vertical="center" wrapText="1"/>
      <protection hidden="1"/>
    </xf>
    <xf numFmtId="0" fontId="7" fillId="0" borderId="0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 vertical="center" wrapText="1"/>
      <protection hidden="1"/>
    </xf>
    <xf numFmtId="0" fontId="14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2" applyFont="1" applyFill="1" applyBorder="1" applyAlignment="1" applyProtection="1">
      <alignment horizontal="left" vertical="center"/>
      <protection hidden="1"/>
    </xf>
    <xf numFmtId="0" fontId="7" fillId="0" borderId="0" xfId="2" applyFont="1" applyBorder="1" applyAlignment="1" applyProtection="1">
      <alignment horizontal="left"/>
      <protection hidden="1"/>
    </xf>
    <xf numFmtId="0" fontId="7" fillId="0" borderId="0" xfId="2" applyFont="1" applyBorder="1" applyAlignment="1" applyProtection="1">
      <alignment vertical="top"/>
      <protection hidden="1"/>
    </xf>
    <xf numFmtId="0" fontId="7" fillId="0" borderId="0" xfId="2" applyFont="1" applyBorder="1" applyAlignment="1" applyProtection="1">
      <alignment horizontal="right"/>
      <protection hidden="1"/>
    </xf>
    <xf numFmtId="0" fontId="4" fillId="0" borderId="0" xfId="2" applyFont="1" applyFill="1" applyBorder="1" applyAlignment="1" applyProtection="1">
      <alignment horizontal="right" vertical="center"/>
      <protection locked="0" hidden="1"/>
    </xf>
    <xf numFmtId="0" fontId="5" fillId="0" borderId="0" xfId="2" applyFont="1" applyBorder="1" applyAlignment="1" applyProtection="1">
      <protection hidden="1"/>
    </xf>
    <xf numFmtId="0" fontId="4" fillId="0" borderId="0" xfId="2" applyFont="1" applyBorder="1" applyAlignment="1" applyProtection="1">
      <alignment vertical="top"/>
      <protection hidden="1"/>
    </xf>
    <xf numFmtId="0" fontId="7" fillId="0" borderId="0" xfId="2" applyFont="1" applyFill="1" applyBorder="1" applyAlignment="1" applyProtection="1">
      <protection hidden="1"/>
    </xf>
    <xf numFmtId="0" fontId="7" fillId="0" borderId="0" xfId="2" applyFont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0" xfId="2" applyFont="1" applyBorder="1" applyAlignment="1" applyProtection="1">
      <alignment horizontal="right" vertical="top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0" xfId="2" applyFont="1" applyBorder="1" applyAlignment="1"/>
    <xf numFmtId="0" fontId="7" fillId="0" borderId="0" xfId="2" applyFont="1" applyBorder="1" applyAlignment="1" applyProtection="1">
      <alignment horizontal="left" vertical="top"/>
      <protection hidden="1"/>
    </xf>
    <xf numFmtId="0" fontId="7" fillId="0" borderId="8" xfId="2" applyFont="1" applyBorder="1" applyAlignment="1" applyProtection="1">
      <protection hidden="1"/>
    </xf>
    <xf numFmtId="0" fontId="7" fillId="0" borderId="0" xfId="2" applyFont="1" applyBorder="1" applyAlignment="1" applyProtection="1">
      <alignment vertical="center"/>
      <protection hidden="1"/>
    </xf>
    <xf numFmtId="0" fontId="7" fillId="0" borderId="9" xfId="2" applyFont="1" applyBorder="1" applyAlignment="1" applyProtection="1">
      <protection hidden="1"/>
    </xf>
    <xf numFmtId="0" fontId="7" fillId="0" borderId="9" xfId="2" applyFont="1" applyBorder="1" applyAlignment="1"/>
    <xf numFmtId="0" fontId="11" fillId="0" borderId="0" xfId="4">
      <alignment vertical="top"/>
    </xf>
    <xf numFmtId="0" fontId="11" fillId="0" borderId="0" xfId="4" applyAlignment="1"/>
    <xf numFmtId="0" fontId="20" fillId="0" borderId="0" xfId="4" applyFont="1" applyAlignment="1"/>
    <xf numFmtId="0" fontId="21" fillId="0" borderId="0" xfId="4" applyFont="1" applyFill="1" applyBorder="1" applyAlignment="1">
      <alignment horizontal="center" vertical="center" wrapText="1"/>
    </xf>
    <xf numFmtId="0" fontId="22" fillId="0" borderId="0" xfId="4" applyFont="1" applyFill="1" applyBorder="1" applyAlignment="1" applyProtection="1">
      <alignment horizontal="center" vertical="center"/>
      <protection hidden="1"/>
    </xf>
    <xf numFmtId="164" fontId="23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3" fillId="0" borderId="6" xfId="0" applyNumberFormat="1" applyFont="1" applyFill="1" applyBorder="1" applyAlignment="1">
      <alignment horizontal="center" vertical="center"/>
    </xf>
    <xf numFmtId="164" fontId="23" fillId="0" borderId="4" xfId="0" applyNumberFormat="1" applyFont="1" applyFill="1" applyBorder="1" applyAlignment="1">
      <alignment horizontal="center" vertical="center"/>
    </xf>
    <xf numFmtId="0" fontId="16" fillId="0" borderId="0" xfId="4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6" xfId="0" applyNumberFormat="1" applyFont="1" applyFill="1" applyBorder="1" applyAlignment="1" applyProtection="1">
      <alignment vertical="center"/>
      <protection hidden="1"/>
    </xf>
    <xf numFmtId="0" fontId="17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8" fillId="0" borderId="12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7" fillId="0" borderId="0" xfId="0" applyFont="1" applyFill="1"/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4" applyFont="1" applyFill="1" applyAlignment="1">
      <alignment wrapText="1"/>
    </xf>
    <xf numFmtId="0" fontId="1" fillId="0" borderId="0" xfId="0" applyFont="1" applyFill="1"/>
    <xf numFmtId="14" fontId="22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23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/>
    </xf>
    <xf numFmtId="0" fontId="7" fillId="0" borderId="8" xfId="2" applyFont="1" applyBorder="1" applyAlignment="1"/>
    <xf numFmtId="0" fontId="7" fillId="0" borderId="15" xfId="2" applyFont="1" applyBorder="1" applyAlignment="1"/>
    <xf numFmtId="0" fontId="5" fillId="0" borderId="16" xfId="2" applyFont="1" applyFill="1" applyBorder="1" applyAlignment="1" applyProtection="1">
      <alignment horizontal="left" vertical="center" wrapText="1"/>
      <protection hidden="1"/>
    </xf>
    <xf numFmtId="0" fontId="5" fillId="0" borderId="7" xfId="2" applyFont="1" applyFill="1" applyBorder="1" applyAlignment="1" applyProtection="1">
      <alignment vertical="center"/>
      <protection hidden="1"/>
    </xf>
    <xf numFmtId="0" fontId="7" fillId="0" borderId="16" xfId="2" applyFont="1" applyBorder="1" applyAlignment="1" applyProtection="1">
      <alignment horizontal="left" vertical="center" wrapText="1"/>
      <protection hidden="1"/>
    </xf>
    <xf numFmtId="0" fontId="7" fillId="0" borderId="7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/>
      <protection hidden="1"/>
    </xf>
    <xf numFmtId="0" fontId="7" fillId="0" borderId="16" xfId="2" applyFont="1" applyFill="1" applyBorder="1" applyAlignment="1" applyProtection="1">
      <protection hidden="1"/>
    </xf>
    <xf numFmtId="0" fontId="7" fillId="0" borderId="16" xfId="2" applyFont="1" applyBorder="1" applyAlignment="1" applyProtection="1">
      <alignment wrapText="1"/>
      <protection hidden="1"/>
    </xf>
    <xf numFmtId="0" fontId="7" fillId="0" borderId="7" xfId="2" applyFont="1" applyBorder="1" applyAlignment="1" applyProtection="1">
      <alignment horizontal="right"/>
      <protection hidden="1"/>
    </xf>
    <xf numFmtId="0" fontId="7" fillId="0" borderId="16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0" fontId="4" fillId="0" borderId="16" xfId="2" applyFont="1" applyFill="1" applyBorder="1" applyAlignment="1" applyProtection="1">
      <alignment horizontal="right" vertical="center"/>
      <protection locked="0" hidden="1"/>
    </xf>
    <xf numFmtId="0" fontId="7" fillId="0" borderId="16" xfId="2" applyFont="1" applyBorder="1" applyAlignment="1" applyProtection="1">
      <alignment vertical="top"/>
      <protection hidden="1"/>
    </xf>
    <xf numFmtId="0" fontId="7" fillId="0" borderId="16" xfId="2" applyFont="1" applyBorder="1" applyAlignment="1" applyProtection="1">
      <alignment horizontal="left" vertical="top" wrapText="1"/>
      <protection hidden="1"/>
    </xf>
    <xf numFmtId="0" fontId="7" fillId="0" borderId="7" xfId="2" applyFont="1" applyBorder="1" applyAlignment="1"/>
    <xf numFmtId="0" fontId="7" fillId="0" borderId="16" xfId="2" applyFont="1" applyBorder="1" applyAlignment="1" applyProtection="1">
      <alignment horizontal="left" vertical="top" indent="2"/>
      <protection hidden="1"/>
    </xf>
    <xf numFmtId="0" fontId="7" fillId="0" borderId="16" xfId="2" applyFont="1" applyBorder="1" applyAlignment="1" applyProtection="1">
      <alignment horizontal="left" vertical="top" wrapText="1" indent="2"/>
      <protection hidden="1"/>
    </xf>
    <xf numFmtId="0" fontId="7" fillId="0" borderId="7" xfId="2" applyFont="1" applyBorder="1" applyAlignment="1" applyProtection="1">
      <alignment horizontal="right" vertical="top"/>
      <protection hidden="1"/>
    </xf>
    <xf numFmtId="49" fontId="4" fillId="0" borderId="16" xfId="2" applyNumberFormat="1" applyFont="1" applyBorder="1" applyAlignment="1" applyProtection="1">
      <alignment horizontal="center" vertical="center"/>
      <protection locked="0" hidden="1"/>
    </xf>
    <xf numFmtId="0" fontId="7" fillId="0" borderId="7" xfId="2" applyFont="1" applyBorder="1" applyAlignment="1" applyProtection="1">
      <alignment horizontal="left" vertical="top"/>
      <protection hidden="1"/>
    </xf>
    <xf numFmtId="0" fontId="7" fillId="0" borderId="16" xfId="2" applyFont="1" applyBorder="1" applyAlignment="1" applyProtection="1">
      <alignment horizontal="left"/>
      <protection hidden="1"/>
    </xf>
    <xf numFmtId="0" fontId="7" fillId="0" borderId="15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left"/>
      <protection hidden="1"/>
    </xf>
    <xf numFmtId="0" fontId="7" fillId="0" borderId="16" xfId="2" applyFont="1" applyFill="1" applyBorder="1" applyAlignment="1" applyProtection="1">
      <alignment vertical="center"/>
      <protection hidden="1"/>
    </xf>
    <xf numFmtId="0" fontId="16" fillId="0" borderId="16" xfId="4" applyFont="1" applyFill="1" applyBorder="1" applyAlignment="1" applyProtection="1">
      <alignment vertical="center"/>
      <protection hidden="1"/>
    </xf>
    <xf numFmtId="0" fontId="16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1" fillId="0" borderId="16" xfId="4" applyBorder="1" applyAlignment="1"/>
    <xf numFmtId="0" fontId="4" fillId="0" borderId="7" xfId="2" applyFont="1" applyBorder="1" applyAlignment="1" applyProtection="1">
      <alignment vertical="center"/>
      <protection hidden="1"/>
    </xf>
    <xf numFmtId="0" fontId="7" fillId="0" borderId="17" xfId="2" applyFont="1" applyBorder="1" applyAlignment="1" applyProtection="1">
      <protection hidden="1"/>
    </xf>
    <xf numFmtId="0" fontId="7" fillId="0" borderId="18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protection hidden="1"/>
    </xf>
    <xf numFmtId="0" fontId="7" fillId="0" borderId="20" xfId="2" applyFont="1" applyFill="1" applyBorder="1" applyAlignment="1" applyProtection="1">
      <protection hidden="1"/>
    </xf>
    <xf numFmtId="14" fontId="4" fillId="0" borderId="12" xfId="2" applyNumberFormat="1" applyFont="1" applyFill="1" applyBorder="1" applyAlignment="1" applyProtection="1">
      <alignment horizontal="center" vertical="center"/>
      <protection locked="0" hidden="1"/>
    </xf>
    <xf numFmtId="1" fontId="4" fillId="0" borderId="11" xfId="2" applyNumberFormat="1" applyFont="1" applyFill="1" applyBorder="1" applyAlignment="1" applyProtection="1">
      <alignment horizontal="center" vertical="center"/>
      <protection locked="0" hidden="1"/>
    </xf>
    <xf numFmtId="3" fontId="4" fillId="0" borderId="11" xfId="2" applyNumberFormat="1" applyFont="1" applyFill="1" applyBorder="1" applyAlignment="1" applyProtection="1">
      <alignment horizontal="right" vertical="center"/>
      <protection locked="0" hidden="1"/>
    </xf>
    <xf numFmtId="0" fontId="4" fillId="0" borderId="11" xfId="2" applyFont="1" applyFill="1" applyBorder="1" applyAlignment="1" applyProtection="1">
      <alignment horizontal="center" vertical="center"/>
      <protection locked="0" hidden="1"/>
    </xf>
    <xf numFmtId="49" fontId="4" fillId="0" borderId="11" xfId="2" applyNumberFormat="1" applyFont="1" applyFill="1" applyBorder="1" applyAlignment="1" applyProtection="1">
      <alignment horizontal="right" vertical="center"/>
      <protection locked="0" hidden="1"/>
    </xf>
    <xf numFmtId="0" fontId="4" fillId="0" borderId="7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Fill="1" applyBorder="1" applyAlignment="1"/>
    <xf numFmtId="49" fontId="4" fillId="0" borderId="0" xfId="2" applyNumberFormat="1" applyFont="1" applyFill="1" applyBorder="1" applyAlignment="1" applyProtection="1">
      <alignment horizontal="center" vertical="center"/>
      <protection locked="0" hidden="1"/>
    </xf>
    <xf numFmtId="0" fontId="7" fillId="0" borderId="7" xfId="2" applyFont="1" applyBorder="1" applyAlignment="1" applyProtection="1">
      <alignment horizontal="right" vertical="center" wrapText="1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49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4" fillId="0" borderId="7" xfId="2" applyFont="1" applyFill="1" applyBorder="1" applyAlignment="1" applyProtection="1">
      <alignment horizontal="left" vertical="center" wrapText="1"/>
      <protection hidden="1"/>
    </xf>
    <xf numFmtId="0" fontId="4" fillId="0" borderId="0" xfId="2" applyFont="1" applyFill="1" applyBorder="1" applyAlignment="1" applyProtection="1">
      <alignment horizontal="left" vertical="center" wrapText="1"/>
      <protection hidden="1"/>
    </xf>
    <xf numFmtId="0" fontId="4" fillId="0" borderId="16" xfId="2" applyFont="1" applyFill="1" applyBorder="1" applyAlignment="1" applyProtection="1">
      <alignment horizontal="left" vertical="center" wrapText="1"/>
      <protection hidden="1"/>
    </xf>
    <xf numFmtId="0" fontId="13" fillId="0" borderId="7" xfId="2" applyFont="1" applyBorder="1" applyAlignment="1" applyProtection="1">
      <alignment horizontal="center" vertical="center" wrapText="1"/>
      <protection hidden="1"/>
    </xf>
    <xf numFmtId="0" fontId="13" fillId="0" borderId="0" xfId="2" applyFont="1" applyBorder="1" applyAlignment="1" applyProtection="1">
      <alignment horizontal="center" vertical="center" wrapText="1"/>
      <protection hidden="1"/>
    </xf>
    <xf numFmtId="0" fontId="13" fillId="0" borderId="16" xfId="2" applyFont="1" applyBorder="1" applyAlignment="1" applyProtection="1">
      <alignment horizontal="center" vertical="center" wrapText="1"/>
      <protection hidden="1"/>
    </xf>
    <xf numFmtId="0" fontId="7" fillId="0" borderId="7" xfId="2" applyFont="1" applyBorder="1" applyAlignment="1" applyProtection="1">
      <alignment horizontal="right" vertical="center"/>
      <protection hidden="1"/>
    </xf>
    <xf numFmtId="0" fontId="7" fillId="0" borderId="16" xfId="2" applyFont="1" applyBorder="1" applyAlignment="1" applyProtection="1">
      <alignment horizontal="right"/>
      <protection hidden="1"/>
    </xf>
    <xf numFmtId="0" fontId="3" fillId="0" borderId="7" xfId="2" applyFont="1" applyBorder="1" applyAlignment="1" applyProtection="1">
      <alignment horizontal="right" vertical="center" wrapText="1"/>
      <protection hidden="1"/>
    </xf>
    <xf numFmtId="0" fontId="3" fillId="0" borderId="16" xfId="2" applyFont="1" applyBorder="1" applyAlignment="1" applyProtection="1">
      <alignment horizontal="right" wrapText="1"/>
      <protection hidden="1"/>
    </xf>
    <xf numFmtId="0" fontId="4" fillId="0" borderId="18" xfId="2" applyFont="1" applyFill="1" applyBorder="1" applyAlignment="1" applyProtection="1">
      <alignment horizontal="left" vertical="center"/>
      <protection locked="0" hidden="1"/>
    </xf>
    <xf numFmtId="0" fontId="7" fillId="0" borderId="19" xfId="2" applyFont="1" applyFill="1" applyBorder="1" applyAlignment="1">
      <alignment horizontal="left" vertical="center"/>
    </xf>
    <xf numFmtId="0" fontId="7" fillId="0" borderId="20" xfId="2" applyFont="1" applyFill="1" applyBorder="1" applyAlignment="1">
      <alignment horizontal="left" vertical="center"/>
    </xf>
    <xf numFmtId="1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1" fontId="4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15" fillId="0" borderId="18" xfId="1" applyFont="1" applyFill="1" applyBorder="1" applyAlignment="1" applyProtection="1">
      <protection locked="0" hidden="1"/>
    </xf>
    <xf numFmtId="0" fontId="4" fillId="0" borderId="19" xfId="2" applyFont="1" applyFill="1" applyBorder="1" applyAlignment="1" applyProtection="1">
      <protection locked="0" hidden="1"/>
    </xf>
    <xf numFmtId="0" fontId="4" fillId="0" borderId="20" xfId="2" applyFont="1" applyFill="1" applyBorder="1" applyAlignment="1" applyProtection="1">
      <protection locked="0" hidden="1"/>
    </xf>
    <xf numFmtId="0" fontId="7" fillId="0" borderId="19" xfId="2" applyFont="1" applyFill="1" applyBorder="1" applyAlignment="1">
      <alignment horizontal="left"/>
    </xf>
    <xf numFmtId="0" fontId="7" fillId="0" borderId="20" xfId="2" applyFont="1" applyFill="1" applyBorder="1" applyAlignment="1">
      <alignment horizontal="left"/>
    </xf>
    <xf numFmtId="0" fontId="7" fillId="0" borderId="0" xfId="2" applyFont="1" applyBorder="1" applyAlignment="1" applyProtection="1">
      <alignment horizontal="right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5" fillId="0" borderId="7" xfId="2" applyFont="1" applyBorder="1" applyAlignment="1" applyProtection="1">
      <alignment horizontal="center" vertical="center"/>
      <protection hidden="1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center"/>
    </xf>
    <xf numFmtId="0" fontId="7" fillId="0" borderId="16" xfId="2" applyFont="1" applyBorder="1" applyAlignment="1">
      <alignment horizontal="center"/>
    </xf>
    <xf numFmtId="0" fontId="4" fillId="0" borderId="18" xfId="2" applyFont="1" applyFill="1" applyBorder="1" applyAlignment="1" applyProtection="1">
      <alignment horizontal="right" vertical="center"/>
      <protection locked="0" hidden="1"/>
    </xf>
    <xf numFmtId="0" fontId="7" fillId="0" borderId="19" xfId="2" applyFont="1" applyFill="1" applyBorder="1" applyAlignment="1"/>
    <xf numFmtId="0" fontId="7" fillId="0" borderId="20" xfId="2" applyFont="1" applyFill="1" applyBorder="1" applyAlignment="1"/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12" fillId="0" borderId="21" xfId="2" applyFont="1" applyBorder="1" applyAlignment="1"/>
    <xf numFmtId="0" fontId="12" fillId="0" borderId="8" xfId="2" applyFont="1" applyBorder="1" applyAlignment="1"/>
    <xf numFmtId="0" fontId="7" fillId="0" borderId="0" xfId="2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8" xfId="2" applyFont="1" applyBorder="1" applyAlignment="1" applyProtection="1">
      <alignment horizontal="center"/>
      <protection hidden="1"/>
    </xf>
    <xf numFmtId="0" fontId="4" fillId="0" borderId="19" xfId="2" applyFont="1" applyFill="1" applyBorder="1" applyAlignment="1" applyProtection="1">
      <alignment horizontal="left" vertical="center"/>
      <protection locked="0" hidden="1"/>
    </xf>
    <xf numFmtId="0" fontId="4" fillId="0" borderId="20" xfId="2" applyFont="1" applyFill="1" applyBorder="1" applyAlignment="1" applyProtection="1">
      <alignment horizontal="left" vertical="center"/>
      <protection locked="0" hidden="1"/>
    </xf>
    <xf numFmtId="0" fontId="7" fillId="0" borderId="16" xfId="2" applyFont="1" applyBorder="1" applyAlignment="1" applyProtection="1">
      <alignment horizontal="right" wrapText="1"/>
      <protection hidden="1"/>
    </xf>
    <xf numFmtId="49" fontId="4" fillId="0" borderId="18" xfId="2" applyNumberFormat="1" applyFont="1" applyFill="1" applyBorder="1" applyAlignment="1" applyProtection="1">
      <alignment horizontal="left" vertical="center"/>
      <protection locked="0" hidden="1"/>
    </xf>
    <xf numFmtId="49" fontId="4" fillId="0" borderId="19" xfId="2" applyNumberFormat="1" applyFont="1" applyFill="1" applyBorder="1" applyAlignment="1" applyProtection="1">
      <alignment horizontal="left" vertical="center"/>
      <protection locked="0" hidden="1"/>
    </xf>
    <xf numFmtId="49" fontId="4" fillId="0" borderId="20" xfId="2" applyNumberFormat="1" applyFont="1" applyFill="1" applyBorder="1" applyAlignment="1" applyProtection="1">
      <alignment horizontal="left" vertical="center"/>
      <protection locked="0" hidden="1"/>
    </xf>
    <xf numFmtId="0" fontId="7" fillId="0" borderId="19" xfId="2" applyFont="1" applyFill="1" applyBorder="1" applyAlignment="1" applyProtection="1">
      <alignment horizontal="center" vertical="top"/>
      <protection hidden="1"/>
    </xf>
    <xf numFmtId="0" fontId="7" fillId="0" borderId="19" xfId="2" applyFont="1" applyFill="1" applyBorder="1" applyAlignment="1" applyProtection="1">
      <alignment horizontal="center"/>
      <protection hidden="1"/>
    </xf>
    <xf numFmtId="49" fontId="15" fillId="0" borderId="18" xfId="1" applyNumberFormat="1" applyFont="1" applyFill="1" applyBorder="1" applyAlignment="1" applyProtection="1">
      <alignment horizontal="left" vertical="center"/>
      <protection locked="0" hidden="1"/>
    </xf>
    <xf numFmtId="0" fontId="25" fillId="0" borderId="0" xfId="4" applyFont="1" applyBorder="1" applyAlignment="1" applyProtection="1">
      <alignment horizontal="left"/>
      <protection hidden="1"/>
    </xf>
    <xf numFmtId="0" fontId="26" fillId="0" borderId="0" xfId="4" applyFont="1" applyBorder="1" applyAlignment="1"/>
    <xf numFmtId="0" fontId="16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1" fillId="0" borderId="16" xfId="4" applyBorder="1" applyAlignment="1"/>
    <xf numFmtId="0" fontId="7" fillId="0" borderId="22" xfId="2" applyFont="1" applyBorder="1" applyAlignment="1" applyProtection="1">
      <alignment horizontal="center" vertical="top"/>
      <protection hidden="1"/>
    </xf>
    <xf numFmtId="0" fontId="7" fillId="0" borderId="22" xfId="2" applyFont="1" applyBorder="1" applyAlignment="1">
      <alignment horizontal="center"/>
    </xf>
    <xf numFmtId="0" fontId="7" fillId="0" borderId="23" xfId="2" applyFont="1" applyBorder="1" applyAlignment="1"/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horizontal="left" vertical="center" wrapText="1"/>
    </xf>
    <xf numFmtId="0" fontId="17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vertical="center"/>
    </xf>
    <xf numFmtId="0" fontId="17" fillId="0" borderId="3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 applyProtection="1">
      <alignment vertical="center" wrapText="1"/>
      <protection hidden="1"/>
    </xf>
    <xf numFmtId="0" fontId="9" fillId="0" borderId="27" xfId="0" applyFont="1" applyFill="1" applyBorder="1" applyAlignment="1" applyProtection="1">
      <alignment vertical="center" wrapText="1"/>
      <protection hidden="1"/>
    </xf>
    <xf numFmtId="0" fontId="9" fillId="0" borderId="28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7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5" fillId="0" borderId="24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left" vertical="center" wrapText="1"/>
      <protection hidden="1"/>
    </xf>
    <xf numFmtId="0" fontId="17" fillId="0" borderId="27" xfId="0" applyFont="1" applyFill="1" applyBorder="1" applyAlignment="1">
      <alignment vertical="center" wrapText="1"/>
    </xf>
    <xf numFmtId="0" fontId="17" fillId="0" borderId="28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vertical="center" wrapText="1"/>
      <protection hidden="1"/>
    </xf>
    <xf numFmtId="0" fontId="8" fillId="0" borderId="27" xfId="0" applyFont="1" applyFill="1" applyBorder="1" applyAlignment="1" applyProtection="1">
      <alignment vertical="center" wrapText="1"/>
      <protection hidden="1"/>
    </xf>
    <xf numFmtId="0" fontId="8" fillId="0" borderId="28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17" fillId="0" borderId="33" xfId="0" applyFont="1" applyFill="1" applyBorder="1"/>
    <xf numFmtId="0" fontId="17" fillId="0" borderId="34" xfId="0" applyFont="1" applyFill="1" applyBorder="1"/>
    <xf numFmtId="0" fontId="17" fillId="0" borderId="31" xfId="0" applyFont="1" applyFill="1" applyBorder="1"/>
    <xf numFmtId="0" fontId="17" fillId="0" borderId="32" xfId="0" applyFont="1" applyFill="1" applyBorder="1"/>
    <xf numFmtId="0" fontId="9" fillId="0" borderId="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vertical="center" wrapText="1"/>
      <protection hidden="1"/>
    </xf>
    <xf numFmtId="0" fontId="22" fillId="0" borderId="0" xfId="4" applyFont="1" applyFill="1" applyBorder="1" applyAlignment="1" applyProtection="1">
      <alignment horizontal="center" vertical="center"/>
      <protection hidden="1"/>
    </xf>
    <xf numFmtId="14" fontId="22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Border="1" applyAlignment="1">
      <alignment vertical="center"/>
    </xf>
    <xf numFmtId="0" fontId="23" fillId="0" borderId="12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21" fillId="0" borderId="0" xfId="4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2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12" fillId="0" borderId="0" xfId="4" applyFont="1" applyAlignment="1"/>
    <xf numFmtId="0" fontId="19" fillId="0" borderId="0" xfId="4" applyFont="1" applyBorder="1" applyAlignment="1">
      <alignment horizontal="justify" vertical="top" wrapText="1"/>
    </xf>
    <xf numFmtId="0" fontId="11" fillId="0" borderId="0" xfId="4" applyAlignment="1"/>
    <xf numFmtId="3" fontId="28" fillId="0" borderId="1" xfId="0" applyNumberFormat="1" applyFont="1" applyFill="1" applyBorder="1" applyAlignment="1" applyProtection="1">
      <alignment vertical="center"/>
      <protection locked="0"/>
    </xf>
  </cellXfs>
  <cellStyles count="5">
    <cellStyle name="Hyperlink" xfId="1" builtinId="8"/>
    <cellStyle name="Normal" xfId="0" builtinId="0"/>
    <cellStyle name="Normal_TFI-POD" xfId="2"/>
    <cellStyle name="Obično_Knjiga2" xfId="3"/>
    <cellStyle name="Style 1" xfId="4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L63"/>
  <sheetViews>
    <sheetView view="pageBreakPreview" topLeftCell="A34" zoomScale="110" zoomScaleNormal="100" zoomScaleSheetLayoutView="100" workbookViewId="0">
      <selection activeCell="I25" sqref="I25"/>
    </sheetView>
  </sheetViews>
  <sheetFormatPr defaultRowHeight="12.75"/>
  <cols>
    <col min="1" max="1" width="9.140625" style="11"/>
    <col min="2" max="2" width="13" style="11" customWidth="1"/>
    <col min="3" max="6" width="9.140625" style="11"/>
    <col min="7" max="7" width="15.140625" style="11" customWidth="1"/>
    <col min="8" max="8" width="19.28515625" style="11" customWidth="1"/>
    <col min="9" max="9" width="5" style="11" bestFit="1" customWidth="1"/>
    <col min="10" max="16384" width="9.140625" style="11"/>
  </cols>
  <sheetData>
    <row r="1" spans="1:12" ht="15.75">
      <c r="A1" s="167" t="s">
        <v>248</v>
      </c>
      <c r="B1" s="168"/>
      <c r="C1" s="168"/>
      <c r="D1" s="85"/>
      <c r="E1" s="85"/>
      <c r="F1" s="85"/>
      <c r="G1" s="85"/>
      <c r="H1" s="85"/>
      <c r="I1" s="86"/>
      <c r="J1" s="10"/>
      <c r="K1" s="10"/>
      <c r="L1" s="10"/>
    </row>
    <row r="2" spans="1:12">
      <c r="A2" s="133" t="s">
        <v>249</v>
      </c>
      <c r="B2" s="134"/>
      <c r="C2" s="134"/>
      <c r="D2" s="135"/>
      <c r="E2" s="120">
        <v>41275</v>
      </c>
      <c r="F2" s="12"/>
      <c r="G2" s="13" t="s">
        <v>250</v>
      </c>
      <c r="H2" s="120">
        <v>41639</v>
      </c>
      <c r="I2" s="87"/>
      <c r="J2" s="10"/>
      <c r="K2" s="10"/>
      <c r="L2" s="10"/>
    </row>
    <row r="3" spans="1:12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>
      <c r="A6" s="139" t="s">
        <v>251</v>
      </c>
      <c r="B6" s="140"/>
      <c r="C6" s="131" t="s">
        <v>323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>
      <c r="A8" s="141" t="s">
        <v>252</v>
      </c>
      <c r="B8" s="142"/>
      <c r="C8" s="131" t="s">
        <v>324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>
      <c r="A10" s="128" t="s">
        <v>253</v>
      </c>
      <c r="B10" s="129"/>
      <c r="C10" s="131" t="s">
        <v>325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>
      <c r="A12" s="139" t="s">
        <v>254</v>
      </c>
      <c r="B12" s="140"/>
      <c r="C12" s="143" t="s">
        <v>326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>
      <c r="A14" s="139" t="s">
        <v>255</v>
      </c>
      <c r="B14" s="140"/>
      <c r="C14" s="146">
        <v>23000</v>
      </c>
      <c r="D14" s="147"/>
      <c r="E14" s="16"/>
      <c r="F14" s="143" t="s">
        <v>327</v>
      </c>
      <c r="G14" s="144"/>
      <c r="H14" s="144"/>
      <c r="I14" s="145"/>
      <c r="J14" s="10"/>
      <c r="K14" s="10"/>
      <c r="L14" s="10"/>
    </row>
    <row r="15" spans="1:12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>
      <c r="A16" s="139" t="s">
        <v>256</v>
      </c>
      <c r="B16" s="140"/>
      <c r="C16" s="143" t="s">
        <v>328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>
      <c r="A18" s="139" t="s">
        <v>257</v>
      </c>
      <c r="B18" s="140"/>
      <c r="C18" s="148" t="s">
        <v>329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>
      <c r="A20" s="139" t="s">
        <v>258</v>
      </c>
      <c r="B20" s="140"/>
      <c r="C20" s="148" t="s">
        <v>330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>
      <c r="A22" s="139" t="s">
        <v>259</v>
      </c>
      <c r="B22" s="140"/>
      <c r="C22" s="121">
        <v>520</v>
      </c>
      <c r="D22" s="143" t="s">
        <v>327</v>
      </c>
      <c r="E22" s="151"/>
      <c r="F22" s="152"/>
      <c r="G22" s="139"/>
      <c r="H22" s="153"/>
      <c r="I22" s="97"/>
      <c r="J22" s="10"/>
      <c r="K22" s="10"/>
      <c r="L22" s="10"/>
    </row>
    <row r="23" spans="1:12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>
      <c r="A24" s="139" t="s">
        <v>260</v>
      </c>
      <c r="B24" s="140"/>
      <c r="C24" s="121">
        <v>13</v>
      </c>
      <c r="D24" s="143" t="s">
        <v>331</v>
      </c>
      <c r="E24" s="151"/>
      <c r="F24" s="151"/>
      <c r="G24" s="152"/>
      <c r="H24" s="51" t="s">
        <v>261</v>
      </c>
      <c r="I24" s="122">
        <v>146</v>
      </c>
      <c r="J24" s="10"/>
      <c r="K24" s="10"/>
      <c r="L24" s="10"/>
    </row>
    <row r="25" spans="1:12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>
      <c r="A26" s="139" t="s">
        <v>262</v>
      </c>
      <c r="B26" s="140"/>
      <c r="C26" s="123" t="s">
        <v>333</v>
      </c>
      <c r="D26" s="25"/>
      <c r="E26" s="33"/>
      <c r="F26" s="24"/>
      <c r="G26" s="154" t="s">
        <v>263</v>
      </c>
      <c r="H26" s="140"/>
      <c r="I26" s="124" t="s">
        <v>332</v>
      </c>
      <c r="J26" s="10"/>
      <c r="K26" s="10"/>
      <c r="L26" s="10"/>
    </row>
    <row r="27" spans="1:12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>
      <c r="A32" s="162"/>
      <c r="B32" s="163"/>
      <c r="C32" s="163"/>
      <c r="D32" s="164"/>
      <c r="E32" s="162"/>
      <c r="F32" s="163"/>
      <c r="G32" s="163"/>
      <c r="H32" s="131"/>
      <c r="I32" s="132"/>
      <c r="J32" s="10"/>
      <c r="K32" s="10"/>
      <c r="L32" s="10"/>
    </row>
    <row r="33" spans="1:12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>
      <c r="A37" s="103"/>
      <c r="B37" s="30"/>
      <c r="C37" s="170"/>
      <c r="D37" s="171"/>
      <c r="E37" s="16"/>
      <c r="F37" s="170"/>
      <c r="G37" s="171"/>
      <c r="H37" s="16"/>
      <c r="I37" s="95"/>
      <c r="J37" s="10"/>
      <c r="K37" s="10"/>
      <c r="L37" s="10"/>
    </row>
    <row r="38" spans="1:12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>
      <c r="A44" s="128" t="s">
        <v>267</v>
      </c>
      <c r="B44" s="175"/>
      <c r="C44" s="131"/>
      <c r="D44" s="132"/>
      <c r="E44" s="26"/>
      <c r="F44" s="143"/>
      <c r="G44" s="163"/>
      <c r="H44" s="163"/>
      <c r="I44" s="164"/>
      <c r="J44" s="10"/>
      <c r="K44" s="10"/>
      <c r="L44" s="10"/>
    </row>
    <row r="45" spans="1:12">
      <c r="A45" s="103"/>
      <c r="B45" s="30"/>
      <c r="C45" s="170"/>
      <c r="D45" s="171"/>
      <c r="E45" s="16"/>
      <c r="F45" s="170"/>
      <c r="G45" s="172"/>
      <c r="H45" s="35"/>
      <c r="I45" s="107"/>
      <c r="J45" s="10"/>
      <c r="K45" s="10"/>
      <c r="L45" s="10"/>
    </row>
    <row r="46" spans="1:12">
      <c r="A46" s="128" t="s">
        <v>268</v>
      </c>
      <c r="B46" s="175"/>
      <c r="C46" s="143" t="s">
        <v>334</v>
      </c>
      <c r="D46" s="173"/>
      <c r="E46" s="173"/>
      <c r="F46" s="173"/>
      <c r="G46" s="173"/>
      <c r="H46" s="173"/>
      <c r="I46" s="174"/>
      <c r="J46" s="10"/>
      <c r="K46" s="10"/>
      <c r="L46" s="10"/>
    </row>
    <row r="47" spans="1:12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>
      <c r="A48" s="128" t="s">
        <v>270</v>
      </c>
      <c r="B48" s="175"/>
      <c r="C48" s="176" t="s">
        <v>335</v>
      </c>
      <c r="D48" s="177"/>
      <c r="E48" s="178"/>
      <c r="F48" s="16"/>
      <c r="G48" s="51" t="s">
        <v>271</v>
      </c>
      <c r="H48" s="176" t="s">
        <v>336</v>
      </c>
      <c r="I48" s="178"/>
      <c r="J48" s="10"/>
      <c r="K48" s="10"/>
      <c r="L48" s="10"/>
    </row>
    <row r="49" spans="1:12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>
      <c r="A50" s="128" t="s">
        <v>257</v>
      </c>
      <c r="B50" s="175"/>
      <c r="C50" s="181" t="s">
        <v>337</v>
      </c>
      <c r="D50" s="177"/>
      <c r="E50" s="177"/>
      <c r="F50" s="177"/>
      <c r="G50" s="177"/>
      <c r="H50" s="177"/>
      <c r="I50" s="178"/>
      <c r="J50" s="10"/>
      <c r="K50" s="10"/>
      <c r="L50" s="10"/>
    </row>
    <row r="51" spans="1:12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>
      <c r="A52" s="139" t="s">
        <v>272</v>
      </c>
      <c r="B52" s="140"/>
      <c r="C52" s="176" t="s">
        <v>338</v>
      </c>
      <c r="D52" s="177"/>
      <c r="E52" s="177"/>
      <c r="F52" s="177"/>
      <c r="G52" s="177"/>
      <c r="H52" s="177"/>
      <c r="I52" s="145"/>
      <c r="J52" s="10"/>
      <c r="K52" s="10"/>
      <c r="L52" s="10"/>
    </row>
    <row r="53" spans="1:12">
      <c r="A53" s="108"/>
      <c r="B53" s="20"/>
      <c r="C53" s="169" t="s">
        <v>273</v>
      </c>
      <c r="D53" s="169"/>
      <c r="E53" s="169"/>
      <c r="F53" s="169"/>
      <c r="G53" s="169"/>
      <c r="H53" s="169"/>
      <c r="I53" s="109"/>
      <c r="J53" s="10"/>
      <c r="K53" s="10"/>
      <c r="L53" s="10"/>
    </row>
    <row r="54" spans="1:12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>
      <c r="A55" s="108"/>
      <c r="B55" s="182" t="s">
        <v>274</v>
      </c>
      <c r="C55" s="183"/>
      <c r="D55" s="183"/>
      <c r="E55" s="183"/>
      <c r="F55" s="49"/>
      <c r="G55" s="49"/>
      <c r="H55" s="49"/>
      <c r="I55" s="110"/>
      <c r="J55" s="10"/>
      <c r="K55" s="10"/>
      <c r="L55" s="10"/>
    </row>
    <row r="56" spans="1:12">
      <c r="A56" s="108"/>
      <c r="B56" s="184" t="s">
        <v>306</v>
      </c>
      <c r="C56" s="185"/>
      <c r="D56" s="185"/>
      <c r="E56" s="185"/>
      <c r="F56" s="185"/>
      <c r="G56" s="185"/>
      <c r="H56" s="185"/>
      <c r="I56" s="186"/>
      <c r="J56" s="10"/>
      <c r="K56" s="10"/>
      <c r="L56" s="10"/>
    </row>
    <row r="57" spans="1:12">
      <c r="A57" s="108"/>
      <c r="B57" s="184" t="s">
        <v>307</v>
      </c>
      <c r="C57" s="185"/>
      <c r="D57" s="185"/>
      <c r="E57" s="185"/>
      <c r="F57" s="185"/>
      <c r="G57" s="185"/>
      <c r="H57" s="185"/>
      <c r="I57" s="110"/>
      <c r="J57" s="10"/>
      <c r="K57" s="10"/>
      <c r="L57" s="10"/>
    </row>
    <row r="58" spans="1:12">
      <c r="A58" s="108"/>
      <c r="B58" s="184" t="s">
        <v>308</v>
      </c>
      <c r="C58" s="185"/>
      <c r="D58" s="185"/>
      <c r="E58" s="185"/>
      <c r="F58" s="185"/>
      <c r="G58" s="185"/>
      <c r="H58" s="185"/>
      <c r="I58" s="186"/>
      <c r="J58" s="10"/>
      <c r="K58" s="10"/>
      <c r="L58" s="10"/>
    </row>
    <row r="59" spans="1:12">
      <c r="A59" s="108"/>
      <c r="B59" s="184" t="s">
        <v>309</v>
      </c>
      <c r="C59" s="185"/>
      <c r="D59" s="185"/>
      <c r="E59" s="185"/>
      <c r="F59" s="185"/>
      <c r="G59" s="185"/>
      <c r="H59" s="185"/>
      <c r="I59" s="186"/>
      <c r="J59" s="10"/>
      <c r="K59" s="10"/>
      <c r="L59" s="10"/>
    </row>
    <row r="60" spans="1:12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>
      <c r="A62" s="90"/>
      <c r="B62" s="16"/>
      <c r="C62" s="16"/>
      <c r="D62" s="16"/>
      <c r="E62" s="20" t="s">
        <v>276</v>
      </c>
      <c r="F62" s="33"/>
      <c r="G62" s="187" t="s">
        <v>277</v>
      </c>
      <c r="H62" s="188"/>
      <c r="I62" s="189"/>
      <c r="J62" s="10"/>
      <c r="K62" s="10"/>
      <c r="L62" s="10"/>
    </row>
    <row r="63" spans="1:12">
      <c r="A63" s="116"/>
      <c r="B63" s="117"/>
      <c r="C63" s="118"/>
      <c r="D63" s="118"/>
      <c r="E63" s="118"/>
      <c r="F63" s="118"/>
      <c r="G63" s="179"/>
      <c r="H63" s="180"/>
      <c r="I63" s="119"/>
      <c r="J63" s="10"/>
      <c r="K63" s="10"/>
      <c r="L63" s="10"/>
    </row>
  </sheetData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53:H53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6:B16"/>
    <mergeCell ref="C16:I16"/>
    <mergeCell ref="A18:B18"/>
    <mergeCell ref="C18:I18"/>
    <mergeCell ref="A20:B20"/>
    <mergeCell ref="C20:I20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pageMargins left="0.75" right="0.75" top="1" bottom="1" header="0.5" footer="0.5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00B0F0"/>
  </sheetPr>
  <dimension ref="A1:K121"/>
  <sheetViews>
    <sheetView view="pageBreakPreview" topLeftCell="A61" zoomScale="110" zoomScaleNormal="100" workbookViewId="0">
      <selection activeCell="A89" sqref="A89:H89"/>
    </sheetView>
  </sheetViews>
  <sheetFormatPr defaultRowHeight="12.75"/>
  <cols>
    <col min="1" max="8" width="9.140625" style="52"/>
    <col min="9" max="9" width="5.5703125" style="52" bestFit="1" customWidth="1"/>
    <col min="10" max="10" width="9.85546875" style="52" bestFit="1" customWidth="1"/>
    <col min="11" max="11" width="10.42578125" style="52" customWidth="1"/>
    <col min="12" max="16384" width="9.140625" style="52"/>
  </cols>
  <sheetData>
    <row r="1" spans="1:11" ht="12.75" customHeight="1">
      <c r="A1" s="223" t="s">
        <v>153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12.75" customHeight="1">
      <c r="A2" s="224" t="s">
        <v>340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>
      <c r="A3" s="225" t="s">
        <v>339</v>
      </c>
      <c r="B3" s="226"/>
      <c r="C3" s="226"/>
      <c r="D3" s="226"/>
      <c r="E3" s="226"/>
      <c r="F3" s="226"/>
      <c r="G3" s="226"/>
      <c r="H3" s="226"/>
      <c r="I3" s="226"/>
      <c r="J3" s="226"/>
      <c r="K3" s="227"/>
    </row>
    <row r="4" spans="1:11" ht="22.5">
      <c r="A4" s="228" t="s">
        <v>59</v>
      </c>
      <c r="B4" s="229"/>
      <c r="C4" s="229"/>
      <c r="D4" s="229"/>
      <c r="E4" s="229"/>
      <c r="F4" s="229"/>
      <c r="G4" s="229"/>
      <c r="H4" s="230"/>
      <c r="I4" s="58" t="s">
        <v>278</v>
      </c>
      <c r="J4" s="59" t="s">
        <v>319</v>
      </c>
      <c r="K4" s="60" t="s">
        <v>320</v>
      </c>
    </row>
    <row r="5" spans="1:11">
      <c r="A5" s="231">
        <v>1</v>
      </c>
      <c r="B5" s="231"/>
      <c r="C5" s="231"/>
      <c r="D5" s="231"/>
      <c r="E5" s="231"/>
      <c r="F5" s="231"/>
      <c r="G5" s="231"/>
      <c r="H5" s="231"/>
      <c r="I5" s="57">
        <v>2</v>
      </c>
      <c r="J5" s="56">
        <v>3</v>
      </c>
      <c r="K5" s="56">
        <v>4</v>
      </c>
    </row>
    <row r="6" spans="1:11">
      <c r="A6" s="232"/>
      <c r="B6" s="233"/>
      <c r="C6" s="233"/>
      <c r="D6" s="233"/>
      <c r="E6" s="233"/>
      <c r="F6" s="233"/>
      <c r="G6" s="233"/>
      <c r="H6" s="233"/>
      <c r="I6" s="233"/>
      <c r="J6" s="233"/>
      <c r="K6" s="234"/>
    </row>
    <row r="7" spans="1:11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136897627</v>
      </c>
      <c r="K8" s="53">
        <f>K9+K16+K26+K35+K39</f>
        <v>136421137</v>
      </c>
    </row>
    <row r="9" spans="1:11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v>865756</v>
      </c>
      <c r="K9" s="53">
        <f>SUM(K10:K15)</f>
        <v>865756</v>
      </c>
    </row>
    <row r="10" spans="1:11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0</v>
      </c>
      <c r="K11" s="7">
        <v>0</v>
      </c>
    </row>
    <row r="12" spans="1:11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>
        <v>865756</v>
      </c>
      <c r="K14" s="7">
        <v>865756</v>
      </c>
    </row>
    <row r="15" spans="1:11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136009871</v>
      </c>
      <c r="K16" s="53">
        <f>SUM(K17:K25)</f>
        <v>135533381</v>
      </c>
    </row>
    <row r="17" spans="1:11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30056155</v>
      </c>
      <c r="K17" s="7">
        <v>30056155</v>
      </c>
    </row>
    <row r="18" spans="1:11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34312331</v>
      </c>
      <c r="K18" s="7">
        <f>83381979-50195984</f>
        <v>33185995</v>
      </c>
    </row>
    <row r="19" spans="1:11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21213990</v>
      </c>
      <c r="K19" s="7">
        <f>55654587-36963675</f>
        <v>18690912</v>
      </c>
    </row>
    <row r="20" spans="1:11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6861908</v>
      </c>
      <c r="K20" s="7">
        <f>82884798+11800-109892808+50195984+1825436-55654587+36963675</f>
        <v>6334298</v>
      </c>
    </row>
    <row r="21" spans="1:11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>
        <v>42661472</v>
      </c>
      <c r="K21" s="7">
        <f>48187442-1825436</f>
        <v>46362006</v>
      </c>
    </row>
    <row r="22" spans="1:11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/>
      <c r="K22" s="7"/>
    </row>
    <row r="23" spans="1:11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904015</v>
      </c>
      <c r="K23" s="7">
        <v>904015</v>
      </c>
    </row>
    <row r="24" spans="1:11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/>
      <c r="K24" s="7"/>
    </row>
    <row r="25" spans="1:11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/>
      <c r="K25" s="7"/>
    </row>
    <row r="26" spans="1:11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22000</v>
      </c>
      <c r="K26" s="53">
        <f>SUM(K27:K34)</f>
        <v>22000</v>
      </c>
    </row>
    <row r="27" spans="1:11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/>
      <c r="K27" s="7"/>
    </row>
    <row r="28" spans="1:11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>
        <v>22000</v>
      </c>
      <c r="K29" s="7">
        <v>22000</v>
      </c>
    </row>
    <row r="30" spans="1:11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/>
      <c r="K31" s="7"/>
    </row>
    <row r="32" spans="1:11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/>
      <c r="K32" s="7"/>
    </row>
    <row r="33" spans="1:11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0</v>
      </c>
      <c r="K35" s="53">
        <f>SUM(K36:K38)</f>
        <v>0</v>
      </c>
    </row>
    <row r="36" spans="1:11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/>
      <c r="K37" s="7"/>
    </row>
    <row r="38" spans="1:11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/>
    </row>
    <row r="39" spans="1:11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/>
      <c r="K39" s="7"/>
    </row>
    <row r="40" spans="1:11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89632631</v>
      </c>
      <c r="K40" s="53">
        <f>K41+K49+K56+K64</f>
        <v>96566220</v>
      </c>
    </row>
    <row r="41" spans="1:11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51044500</v>
      </c>
      <c r="K41" s="53">
        <f>SUM(K42:K48)</f>
        <v>58052027</v>
      </c>
    </row>
    <row r="42" spans="1:11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15844364</v>
      </c>
      <c r="K42" s="7">
        <v>14846075</v>
      </c>
    </row>
    <row r="43" spans="1:11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>
        <v>10714078</v>
      </c>
      <c r="K43" s="7">
        <f>807196+10807184</f>
        <v>11614380</v>
      </c>
    </row>
    <row r="44" spans="1:11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>
        <v>23250946</v>
      </c>
      <c r="K44" s="7">
        <f>30322795-199753</f>
        <v>30123042</v>
      </c>
    </row>
    <row r="45" spans="1:11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>
        <v>1235112</v>
      </c>
      <c r="K45" s="7">
        <f>199753+34470+104+1234203</f>
        <v>1468530</v>
      </c>
    </row>
    <row r="46" spans="1:11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/>
      <c r="K46" s="7"/>
    </row>
    <row r="47" spans="1:11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36518831</v>
      </c>
      <c r="K49" s="53">
        <f>SUM(K50:K55)</f>
        <v>36948592</v>
      </c>
    </row>
    <row r="50" spans="1:11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/>
      <c r="K50" s="7"/>
    </row>
    <row r="51" spans="1:11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34746676</v>
      </c>
      <c r="K51" s="7">
        <f>39872061+3236912-8303398</f>
        <v>34805575</v>
      </c>
    </row>
    <row r="52" spans="1:11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234869</v>
      </c>
      <c r="K53" s="7">
        <f>185380+63152</f>
        <v>248532</v>
      </c>
    </row>
    <row r="54" spans="1:11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136176</v>
      </c>
      <c r="K54" s="7">
        <f>401688+97035</f>
        <v>498723</v>
      </c>
    </row>
    <row r="55" spans="1:11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1401110</v>
      </c>
      <c r="K55" s="7">
        <v>1395762</v>
      </c>
    </row>
    <row r="56" spans="1:11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1311999</v>
      </c>
      <c r="K56" s="53">
        <f>SUM(K57:K63)</f>
        <v>1172846</v>
      </c>
    </row>
    <row r="57" spans="1:11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/>
    </row>
    <row r="59" spans="1:11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/>
    </row>
    <row r="62" spans="1:11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1311999</v>
      </c>
      <c r="K62" s="7">
        <v>1172846</v>
      </c>
    </row>
    <row r="63" spans="1:11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757301</v>
      </c>
      <c r="K64" s="7">
        <v>392755</v>
      </c>
    </row>
    <row r="65" spans="1:11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12024011</v>
      </c>
      <c r="K65" s="7">
        <f>16776162-75294</f>
        <v>16700868</v>
      </c>
    </row>
    <row r="66" spans="1:11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238554269</v>
      </c>
      <c r="K66" s="53">
        <f>K7+K8+K40+K65</f>
        <v>249688225</v>
      </c>
    </row>
    <row r="67" spans="1:11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/>
      <c r="K67" s="8"/>
    </row>
    <row r="68" spans="1:11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68303175</v>
      </c>
      <c r="K69" s="54">
        <f>K70+K71+K72+K78+K79+K82+K85</f>
        <v>66946639</v>
      </c>
    </row>
    <row r="70" spans="1:11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69918310</v>
      </c>
      <c r="K70" s="7">
        <v>69918310</v>
      </c>
    </row>
    <row r="71" spans="1:11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/>
      <c r="K71" s="7"/>
    </row>
    <row r="72" spans="1:11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0</v>
      </c>
      <c r="K72" s="53">
        <f>K73+K74-K75+K76+K77</f>
        <v>0</v>
      </c>
    </row>
    <row r="73" spans="1:11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/>
      <c r="K73" s="7"/>
    </row>
    <row r="74" spans="1:11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/>
      <c r="K74" s="7"/>
    </row>
    <row r="75" spans="1:11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/>
      <c r="K75" s="7"/>
    </row>
    <row r="76" spans="1:11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/>
      <c r="K77" s="7"/>
    </row>
    <row r="78" spans="1:11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/>
      <c r="K78" s="7"/>
    </row>
    <row r="79" spans="1:11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-2339368</v>
      </c>
      <c r="K79" s="53">
        <f>K80-K81</f>
        <v>-1615135</v>
      </c>
    </row>
    <row r="80" spans="1:11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/>
      <c r="K80" s="7"/>
    </row>
    <row r="81" spans="1:11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>
        <v>2339368</v>
      </c>
      <c r="K81" s="7">
        <f>2339368-724233</f>
        <v>1615135</v>
      </c>
    </row>
    <row r="82" spans="1:11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724233</v>
      </c>
      <c r="K82" s="53">
        <f>K83-K84</f>
        <v>-1356536</v>
      </c>
    </row>
    <row r="83" spans="1:11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724233</v>
      </c>
      <c r="K83" s="7"/>
    </row>
    <row r="84" spans="1:11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>
        <f>1357968-1432</f>
        <v>1356536</v>
      </c>
    </row>
    <row r="85" spans="1:11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0</v>
      </c>
      <c r="K86" s="53">
        <f>SUM(K87:K89)</f>
        <v>0</v>
      </c>
    </row>
    <row r="87" spans="1:11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/>
      <c r="K87" s="7"/>
    </row>
    <row r="88" spans="1:11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/>
      <c r="K89" s="7"/>
    </row>
    <row r="90" spans="1:11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73774547</v>
      </c>
      <c r="K90" s="53">
        <f>SUM(K91:K99)</f>
        <v>65054609</v>
      </c>
    </row>
    <row r="91" spans="1:11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>
        <v>0</v>
      </c>
      <c r="K92" s="7">
        <v>0</v>
      </c>
    </row>
    <row r="93" spans="1:11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73774547</v>
      </c>
      <c r="K93" s="7">
        <v>65054609</v>
      </c>
    </row>
    <row r="94" spans="1:11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/>
    </row>
    <row r="99" spans="1:11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93049091</v>
      </c>
      <c r="K100" s="53">
        <f>SUM(K101:K112)</f>
        <v>116845587</v>
      </c>
    </row>
    <row r="101" spans="1:11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/>
      <c r="K101" s="7"/>
    </row>
    <row r="102" spans="1:11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>
        <v>30872682</v>
      </c>
      <c r="K102" s="7">
        <v>46958407</v>
      </c>
    </row>
    <row r="103" spans="1:11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10750261</v>
      </c>
      <c r="K103" s="7">
        <v>14556013</v>
      </c>
    </row>
    <row r="104" spans="1:11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567111</v>
      </c>
      <c r="K104" s="7">
        <v>579394</v>
      </c>
    </row>
    <row r="105" spans="1:11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29324399</v>
      </c>
      <c r="K105" s="7">
        <f>26304559+4263815-574195</f>
        <v>29994179</v>
      </c>
    </row>
    <row r="106" spans="1:11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/>
    </row>
    <row r="107" spans="1:11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644071</v>
      </c>
      <c r="K108" s="7">
        <f>69526+591524</f>
        <v>661050</v>
      </c>
    </row>
    <row r="109" spans="1:11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20890567</v>
      </c>
      <c r="K109" s="7">
        <f>680739+9335267+4850149+7721433+1464805+20610+23541</f>
        <v>24096544</v>
      </c>
    </row>
    <row r="110" spans="1:11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/>
      <c r="K110" s="7"/>
    </row>
    <row r="111" spans="1:11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/>
      <c r="K112" s="7"/>
    </row>
    <row r="113" spans="1:11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3427456</v>
      </c>
      <c r="K113" s="7">
        <v>841390</v>
      </c>
    </row>
    <row r="114" spans="1:11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238554269</v>
      </c>
      <c r="K114" s="53">
        <f>K69+K86+K90+K100+K113</f>
        <v>249688225</v>
      </c>
    </row>
    <row r="115" spans="1:11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/>
      <c r="K115" s="8"/>
    </row>
    <row r="116" spans="1:11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mergeCells count="121"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2:K77 J79:K84 J7:K67 J86:K115">
      <formula1>0</formula1>
    </dataValidation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00B0F0"/>
  </sheetPr>
  <dimension ref="A1:M71"/>
  <sheetViews>
    <sheetView view="pageBreakPreview" topLeftCell="A19" zoomScale="110" zoomScaleNormal="100" workbookViewId="0">
      <selection activeCell="L20" sqref="L20"/>
    </sheetView>
  </sheetViews>
  <sheetFormatPr defaultRowHeight="12.75"/>
  <cols>
    <col min="1" max="8" width="9.140625" style="52"/>
    <col min="9" max="9" width="6.5703125" style="52" bestFit="1" customWidth="1"/>
    <col min="10" max="10" width="9.85546875" style="52" customWidth="1"/>
    <col min="11" max="11" width="10" style="52" customWidth="1"/>
    <col min="12" max="12" width="9.85546875" style="52" customWidth="1"/>
    <col min="13" max="13" width="10.28515625" style="52" customWidth="1"/>
    <col min="14" max="16384" width="9.140625" style="52"/>
  </cols>
  <sheetData>
    <row r="1" spans="1:13" ht="12.75" customHeight="1">
      <c r="A1" s="223" t="s">
        <v>154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ht="12.75" customHeight="1">
      <c r="A2" s="235" t="s">
        <v>341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51" t="s">
        <v>339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49" t="s">
        <v>319</v>
      </c>
      <c r="K4" s="249"/>
      <c r="L4" s="249" t="s">
        <v>320</v>
      </c>
      <c r="M4" s="249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>
      <c r="A6" s="249">
        <v>1</v>
      </c>
      <c r="B6" s="249"/>
      <c r="C6" s="249"/>
      <c r="D6" s="249"/>
      <c r="E6" s="249"/>
      <c r="F6" s="249"/>
      <c r="G6" s="249"/>
      <c r="H6" s="249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132664665</v>
      </c>
      <c r="K7" s="54">
        <f>SUM(K8:K9)</f>
        <v>33725065</v>
      </c>
      <c r="L7" s="54">
        <f>SUM(L8:L9)</f>
        <v>139723423</v>
      </c>
      <c r="M7" s="54">
        <f>SUM(M8:M9)</f>
        <v>31712221</v>
      </c>
    </row>
    <row r="8" spans="1:13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126852753</v>
      </c>
      <c r="K8" s="7">
        <f>J8-97688721</f>
        <v>29164032</v>
      </c>
      <c r="L8" s="7">
        <f>128525320+8012144</f>
        <v>136537464</v>
      </c>
      <c r="M8" s="7">
        <f>L8-106585746</f>
        <v>29951718</v>
      </c>
    </row>
    <row r="9" spans="1:13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5811912</v>
      </c>
      <c r="K9" s="7">
        <f>J9-1250879</f>
        <v>4561033</v>
      </c>
      <c r="L9" s="7">
        <f>3185959</f>
        <v>3185959</v>
      </c>
      <c r="M9" s="7">
        <f>L9-1425456</f>
        <v>1760503</v>
      </c>
    </row>
    <row r="10" spans="1:13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125272911</v>
      </c>
      <c r="K10" s="53">
        <f>K11+K12+K16+K20+K21+K22+K25+K26</f>
        <v>32093213</v>
      </c>
      <c r="L10" s="53">
        <f>L11+L12+L16+L20+L21+L22+L25+L26</f>
        <v>134656992</v>
      </c>
      <c r="M10" s="53">
        <f>M11+M12+M16+M20+M21+M22+M25+M26</f>
        <v>32280087</v>
      </c>
    </row>
    <row r="11" spans="1:13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>
        <v>-5718641</v>
      </c>
      <c r="K11" s="7">
        <f>J11--5630374</f>
        <v>-88267</v>
      </c>
      <c r="L11" s="7">
        <f>-85536215+76782956+980861</f>
        <v>-7772398</v>
      </c>
      <c r="M11" s="7">
        <f>L11--5935169</f>
        <v>-1837229</v>
      </c>
    </row>
    <row r="12" spans="1:13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87931855</v>
      </c>
      <c r="K12" s="53">
        <f>J12-67761961</f>
        <v>20169894</v>
      </c>
      <c r="L12" s="53">
        <f>SUM(L13:L15)</f>
        <v>96926077</v>
      </c>
      <c r="M12" s="53">
        <f>SUM(M13:M15)</f>
        <v>22297488</v>
      </c>
    </row>
    <row r="13" spans="1:13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64681320</v>
      </c>
      <c r="K13" s="7">
        <f>J13-50995575</f>
        <v>13685745</v>
      </c>
      <c r="L13" s="7">
        <f>69348436+44342</f>
        <v>69392778</v>
      </c>
      <c r="M13" s="7">
        <f>L13-53818606</f>
        <v>15574172</v>
      </c>
    </row>
    <row r="14" spans="1:13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3538112</v>
      </c>
      <c r="K14" s="7">
        <f>J14-2133840</f>
        <v>1404272</v>
      </c>
      <c r="L14" s="7">
        <v>7897220</v>
      </c>
      <c r="M14" s="7">
        <f>L14-6256785</f>
        <v>1640435</v>
      </c>
    </row>
    <row r="15" spans="1:13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19712423</v>
      </c>
      <c r="K15" s="7">
        <f>J15-14632546</f>
        <v>5079877</v>
      </c>
      <c r="L15" s="7">
        <f>20558176+129059-1051156</f>
        <v>19636079</v>
      </c>
      <c r="M15" s="7">
        <f>L15-14553198</f>
        <v>5082881</v>
      </c>
    </row>
    <row r="16" spans="1:13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12116564</v>
      </c>
      <c r="K16" s="53">
        <f>SUM(K17:K19)</f>
        <v>2884084</v>
      </c>
      <c r="L16" s="53">
        <f>SUM(L17:L19)</f>
        <v>11525693</v>
      </c>
      <c r="M16" s="53">
        <f>SUM(M17:M19)</f>
        <v>2890089</v>
      </c>
    </row>
    <row r="17" spans="1:13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7426207</v>
      </c>
      <c r="K17" s="7">
        <f>J17-5541637</f>
        <v>1884570</v>
      </c>
      <c r="L17" s="7">
        <v>7133907</v>
      </c>
      <c r="M17" s="7">
        <f>L17-5330385</f>
        <v>1803522</v>
      </c>
    </row>
    <row r="18" spans="1:13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3035984</v>
      </c>
      <c r="K18" s="7">
        <f>J18-2417009</f>
        <v>618975</v>
      </c>
      <c r="L18" s="7">
        <f>868414+2001916</f>
        <v>2870330</v>
      </c>
      <c r="M18" s="7">
        <f>L18-2165094</f>
        <v>705236</v>
      </c>
    </row>
    <row r="19" spans="1:13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1654373</v>
      </c>
      <c r="K19" s="7">
        <f>J19-1273834</f>
        <v>380539</v>
      </c>
      <c r="L19" s="7">
        <v>1521456</v>
      </c>
      <c r="M19" s="7">
        <f>L19-1140125</f>
        <v>381331</v>
      </c>
    </row>
    <row r="20" spans="1:13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6391129</v>
      </c>
      <c r="K20" s="7">
        <f>J20-4763901</f>
        <v>1627228</v>
      </c>
      <c r="L20" s="7">
        <v>6664092</v>
      </c>
      <c r="M20" s="7">
        <f>L20-5007580</f>
        <v>1656512</v>
      </c>
    </row>
    <row r="21" spans="1:13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11516060</v>
      </c>
      <c r="K21" s="7">
        <f>J21-8821218</f>
        <v>2694842</v>
      </c>
      <c r="L21" s="7">
        <f>1051156+10851505+12000</f>
        <v>11914661</v>
      </c>
      <c r="M21" s="7">
        <f>L21-8604634</f>
        <v>3310027</v>
      </c>
    </row>
    <row r="22" spans="1:13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/>
      <c r="K24" s="7"/>
      <c r="L24" s="7"/>
      <c r="M24" s="7"/>
    </row>
    <row r="25" spans="1:13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13035944</v>
      </c>
      <c r="K26" s="7">
        <f>J26-8230512</f>
        <v>4805432</v>
      </c>
      <c r="L26" s="7">
        <f>16381160-1432-980861</f>
        <v>15398867</v>
      </c>
      <c r="M26" s="7">
        <f>L26-11435667</f>
        <v>3963200</v>
      </c>
    </row>
    <row r="27" spans="1:13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331477</v>
      </c>
      <c r="K27" s="53">
        <f>SUM(K28:K32)</f>
        <v>77296</v>
      </c>
      <c r="L27" s="53">
        <f>SUM(L28:L32)</f>
        <v>366308</v>
      </c>
      <c r="M27" s="53">
        <f>SUM(M28:M32)</f>
        <v>291924</v>
      </c>
    </row>
    <row r="28" spans="1:13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/>
      <c r="K28" s="7"/>
      <c r="L28" s="7"/>
      <c r="M28" s="7"/>
    </row>
    <row r="29" spans="1:13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293271</v>
      </c>
      <c r="K29" s="7">
        <f>J29-225974</f>
        <v>67297</v>
      </c>
      <c r="L29" s="7">
        <f>366308-49865</f>
        <v>316443</v>
      </c>
      <c r="M29" s="7">
        <f>L29-74048</f>
        <v>242395</v>
      </c>
    </row>
    <row r="30" spans="1:13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>
        <v>38206</v>
      </c>
      <c r="K32" s="7">
        <f>J32-28207</f>
        <v>9999</v>
      </c>
      <c r="L32" s="7">
        <v>49865</v>
      </c>
      <c r="M32" s="7">
        <f>L32-336</f>
        <v>49529</v>
      </c>
    </row>
    <row r="33" spans="1:13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6998998</v>
      </c>
      <c r="K33" s="53">
        <f>SUM(K34:K37)</f>
        <v>1290537</v>
      </c>
      <c r="L33" s="53">
        <f>SUM(L34:L37)</f>
        <v>6789275</v>
      </c>
      <c r="M33" s="53">
        <f>SUM(M34:M37)</f>
        <v>2012493</v>
      </c>
    </row>
    <row r="34" spans="1:13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/>
      <c r="M34" s="7"/>
    </row>
    <row r="35" spans="1:13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6998998</v>
      </c>
      <c r="K35" s="7">
        <f>J35-5708461</f>
        <v>1290537</v>
      </c>
      <c r="L35" s="7">
        <v>6789275</v>
      </c>
      <c r="M35" s="7">
        <f>L35-4776782</f>
        <v>2012493</v>
      </c>
    </row>
    <row r="36" spans="1:13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132996142</v>
      </c>
      <c r="K42" s="53">
        <f>K7+K27+K38+K40</f>
        <v>33802361</v>
      </c>
      <c r="L42" s="53">
        <f>L7+L27+L38+L40</f>
        <v>140089731</v>
      </c>
      <c r="M42" s="53">
        <f>M7+M27+M38+M40</f>
        <v>32004145</v>
      </c>
    </row>
    <row r="43" spans="1:13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132271909</v>
      </c>
      <c r="K43" s="53">
        <f>K10+K33+K39+K41</f>
        <v>33383750</v>
      </c>
      <c r="L43" s="53">
        <f>L10+L33+L39+L41</f>
        <v>141446267</v>
      </c>
      <c r="M43" s="53">
        <f>M10+M33+M39+M41</f>
        <v>34292580</v>
      </c>
    </row>
    <row r="44" spans="1:13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724233</v>
      </c>
      <c r="K44" s="53">
        <f>K42-K43</f>
        <v>418611</v>
      </c>
      <c r="L44" s="53">
        <f>L42-L43</f>
        <v>-1356536</v>
      </c>
      <c r="M44" s="53">
        <f>M42-M43</f>
        <v>-2288435</v>
      </c>
    </row>
    <row r="45" spans="1:13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724233</v>
      </c>
      <c r="K45" s="53">
        <f>IF(K42&gt;K43,K42-K43,0)</f>
        <v>418611</v>
      </c>
      <c r="L45" s="53">
        <f>IF(L42&gt;L43,L42-L43,0)</f>
        <v>0</v>
      </c>
      <c r="M45" s="53">
        <f>IF(M42&gt;M43,M42-M43,0)</f>
        <v>0</v>
      </c>
    </row>
    <row r="46" spans="1:13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1356536</v>
      </c>
      <c r="M46" s="53">
        <f>IF(M43&gt;M42,M43-M42,0)</f>
        <v>2288435</v>
      </c>
    </row>
    <row r="47" spans="1:13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/>
      <c r="K47" s="7"/>
      <c r="L47" s="7"/>
      <c r="M47" s="7"/>
    </row>
    <row r="48" spans="1:13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724233</v>
      </c>
      <c r="K48" s="53">
        <f>K44-K47</f>
        <v>418611</v>
      </c>
      <c r="L48" s="53">
        <f>L44-L47</f>
        <v>-1356536</v>
      </c>
      <c r="M48" s="53">
        <f>M44-M47</f>
        <v>-2288435</v>
      </c>
    </row>
    <row r="49" spans="1:13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724233</v>
      </c>
      <c r="K49" s="53">
        <f>IF(K48&gt;0,K48,0)</f>
        <v>418611</v>
      </c>
      <c r="L49" s="53">
        <f>IF(L48&gt;0,L48,0)</f>
        <v>0</v>
      </c>
      <c r="M49" s="53">
        <f>IF(M48&gt;0,M48,0)</f>
        <v>0</v>
      </c>
    </row>
    <row r="50" spans="1:13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1356536</v>
      </c>
      <c r="M50" s="61">
        <f>IF(M48&lt;0,-M48,0)</f>
        <v>2288435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/>
      <c r="K56" s="6"/>
      <c r="L56" s="6"/>
      <c r="M56" s="6"/>
    </row>
    <row r="57" spans="1:13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mergeCells count="73">
    <mergeCell ref="A9:H9"/>
    <mergeCell ref="J4:K4"/>
    <mergeCell ref="L4:M4"/>
    <mergeCell ref="A5:H5"/>
    <mergeCell ref="A3:M3"/>
    <mergeCell ref="A4:H4"/>
    <mergeCell ref="A6:H6"/>
    <mergeCell ref="A7:H7"/>
    <mergeCell ref="A8:H8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M29:M33 J48:M50 K27:M27 K22 L12:M22 M26 M35 J7:M10 J12:K21 K23:L26 J22:J46 K28:L41">
      <formula1>0</formula1>
    </dataValidation>
  </dataValidations>
  <pageMargins left="0.75" right="0.75" top="1" bottom="1" header="0.5" footer="0.5"/>
  <pageSetup paperSize="9" scale="68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00B0F0"/>
  </sheetPr>
  <dimension ref="A1:K52"/>
  <sheetViews>
    <sheetView tabSelected="1" view="pageBreakPreview" zoomScale="110" zoomScaleNormal="100" workbookViewId="0">
      <selection activeCell="P47" sqref="P47"/>
    </sheetView>
  </sheetViews>
  <sheetFormatPr defaultRowHeight="12.75"/>
  <cols>
    <col min="1" max="8" width="9.140625" style="52"/>
    <col min="9" max="9" width="6.5703125" style="52" bestFit="1" customWidth="1"/>
    <col min="10" max="16384" width="9.140625" style="52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>
      <c r="A3" s="255" t="s">
        <v>339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7">
        <v>724233</v>
      </c>
      <c r="K7" s="7">
        <v>-1356536</v>
      </c>
    </row>
    <row r="8" spans="1:11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7">
        <v>6391129</v>
      </c>
      <c r="K8" s="7">
        <v>6664092</v>
      </c>
    </row>
    <row r="9" spans="1:11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7">
        <v>0</v>
      </c>
      <c r="K9" s="7">
        <f>21210428+2586067-K36</f>
        <v>17801565</v>
      </c>
    </row>
    <row r="10" spans="1:11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7">
        <v>0</v>
      </c>
      <c r="K10" s="7"/>
    </row>
    <row r="11" spans="1:11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7">
        <v>0</v>
      </c>
      <c r="K11" s="7"/>
    </row>
    <row r="12" spans="1:11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7">
        <v>47602800</v>
      </c>
      <c r="K12" s="7"/>
    </row>
    <row r="13" spans="1:11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54718162</v>
      </c>
      <c r="K13" s="53">
        <f>SUM(K7:K12)</f>
        <v>23109121</v>
      </c>
    </row>
    <row r="14" spans="1:11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7">
        <v>24525314</v>
      </c>
      <c r="K14" s="7"/>
    </row>
    <row r="15" spans="1:11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7">
        <v>1937022</v>
      </c>
      <c r="K15" s="7">
        <f>4678214+364546-4752151</f>
        <v>290609</v>
      </c>
    </row>
    <row r="16" spans="1:11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7">
        <v>7931708</v>
      </c>
      <c r="K16" s="7">
        <f>7961665-955570</f>
        <v>7006095</v>
      </c>
    </row>
    <row r="17" spans="1:11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7">
        <v>3654260</v>
      </c>
      <c r="K17" s="7">
        <f>4752151+2586067-73865</f>
        <v>7264353</v>
      </c>
    </row>
    <row r="18" spans="1:11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38048304</v>
      </c>
      <c r="K18" s="53">
        <f>SUM(K14:K17)</f>
        <v>14561057</v>
      </c>
    </row>
    <row r="19" spans="1:11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16669858</v>
      </c>
      <c r="K19" s="53">
        <f>IF(K13&gt;K18,K13-K18,0)</f>
        <v>8548064</v>
      </c>
    </row>
    <row r="20" spans="1:11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7">
        <v>160899</v>
      </c>
      <c r="K22" s="7">
        <v>0</v>
      </c>
    </row>
    <row r="23" spans="1:11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7"/>
      <c r="K23" s="7"/>
    </row>
    <row r="24" spans="1:11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7"/>
      <c r="K24" s="7"/>
    </row>
    <row r="25" spans="1:11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7"/>
      <c r="K25" s="7"/>
    </row>
    <row r="26" spans="1:11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7"/>
      <c r="K26" s="7"/>
    </row>
    <row r="27" spans="1:11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160899</v>
      </c>
      <c r="K27" s="53">
        <f>SUM(K22:K26)</f>
        <v>0</v>
      </c>
    </row>
    <row r="28" spans="1:11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7">
        <v>10186851</v>
      </c>
      <c r="K28" s="7">
        <f>4572826+386983+1227793</f>
        <v>6187602</v>
      </c>
    </row>
    <row r="29" spans="1:11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7"/>
      <c r="K29" s="7"/>
    </row>
    <row r="30" spans="1:11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7"/>
      <c r="K30" s="7"/>
    </row>
    <row r="31" spans="1:11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10186851</v>
      </c>
      <c r="K31" s="53">
        <f>SUM(K28:K30)</f>
        <v>6187602</v>
      </c>
    </row>
    <row r="32" spans="1:11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10025952</v>
      </c>
      <c r="K33" s="53">
        <f>IF(K31&gt;K27,K31-K27,0)</f>
        <v>6187602</v>
      </c>
    </row>
    <row r="34" spans="1:11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7"/>
      <c r="K35" s="7"/>
    </row>
    <row r="36" spans="1:11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7">
        <v>8637994</v>
      </c>
      <c r="K36" s="7">
        <f>1500000+3499930+995000</f>
        <v>5994930</v>
      </c>
    </row>
    <row r="37" spans="1:11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7">
        <v>122494</v>
      </c>
      <c r="K37" s="7"/>
    </row>
    <row r="38" spans="1:11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8760488</v>
      </c>
      <c r="K38" s="53">
        <f>SUM(K35:K37)</f>
        <v>5994930</v>
      </c>
    </row>
    <row r="39" spans="1:11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7">
        <v>14281417</v>
      </c>
      <c r="K39" s="7">
        <f>8719938-1172411-486478</f>
        <v>7061049</v>
      </c>
    </row>
    <row r="40" spans="1:11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7"/>
      <c r="K40" s="7"/>
    </row>
    <row r="41" spans="1:11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7">
        <v>1578008</v>
      </c>
      <c r="K41" s="7">
        <f>1172411+486478</f>
        <v>1658889</v>
      </c>
    </row>
    <row r="42" spans="1:11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7"/>
      <c r="K42" s="7"/>
    </row>
    <row r="43" spans="1:11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7"/>
      <c r="K43" s="7"/>
    </row>
    <row r="44" spans="1:11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15859425</v>
      </c>
      <c r="K44" s="53">
        <f>SUM(K39:K43)</f>
        <v>8719938</v>
      </c>
    </row>
    <row r="45" spans="1:11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7098937</v>
      </c>
      <c r="K46" s="53">
        <f>IF(K44&gt;K38,K44-K38,0)</f>
        <v>2725008</v>
      </c>
    </row>
    <row r="47" spans="1:11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455031</v>
      </c>
      <c r="K48" s="53">
        <f>IF(K20-K19+K33-K32+K46-K45&gt;0,K20-K19+K33-K32+K46-K45,0)</f>
        <v>364546</v>
      </c>
    </row>
    <row r="49" spans="1:11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7">
        <v>1212332</v>
      </c>
      <c r="K49" s="7">
        <v>757301</v>
      </c>
    </row>
    <row r="50" spans="1:11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7"/>
      <c r="K50" s="7"/>
    </row>
    <row r="51" spans="1:11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7">
        <v>455031</v>
      </c>
      <c r="K51" s="7">
        <v>364546</v>
      </c>
    </row>
    <row r="52" spans="1:11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757301</v>
      </c>
      <c r="K52" s="61">
        <f>K49+K50-K51</f>
        <v>392755</v>
      </c>
    </row>
  </sheetData>
  <mergeCells count="52">
    <mergeCell ref="A3:K3"/>
    <mergeCell ref="A1:K1"/>
    <mergeCell ref="A2:K2"/>
    <mergeCell ref="A4:H4"/>
    <mergeCell ref="A9:H9"/>
    <mergeCell ref="A11:H11"/>
    <mergeCell ref="A12:H12"/>
    <mergeCell ref="A5:H5"/>
    <mergeCell ref="A6:K6"/>
    <mergeCell ref="A7:H7"/>
    <mergeCell ref="A8:H8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35:K37 J28:K30 J49:K51 J22:K26 J14:K17 J39:K43 J7:J12 K7 K9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 K8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Normal="100" workbookViewId="0">
      <selection sqref="A1:K1"/>
    </sheetView>
  </sheetViews>
  <sheetFormatPr defaultRowHeight="12.75"/>
  <cols>
    <col min="1" max="16384" width="9.140625" style="52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5" t="s">
        <v>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>
      <c r="A3" s="267" t="s">
        <v>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>
      <c r="A5" s="266">
        <v>1</v>
      </c>
      <c r="B5" s="266"/>
      <c r="C5" s="266"/>
      <c r="D5" s="266"/>
      <c r="E5" s="266"/>
      <c r="F5" s="266"/>
      <c r="G5" s="266"/>
      <c r="H5" s="266"/>
      <c r="I5" s="72">
        <v>2</v>
      </c>
      <c r="J5" s="73" t="s">
        <v>283</v>
      </c>
      <c r="K5" s="73" t="s">
        <v>284</v>
      </c>
    </row>
    <row r="6" spans="1:11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>
      <c r="A25" s="203" t="s">
        <v>321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>
      <c r="A26" s="203" t="s">
        <v>322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mergeCells count="53">
    <mergeCell ref="A1:K1"/>
    <mergeCell ref="A2:K2"/>
    <mergeCell ref="A4:H4"/>
    <mergeCell ref="A9:H9"/>
    <mergeCell ref="A10:H10"/>
    <mergeCell ref="A5:H5"/>
    <mergeCell ref="A6:K6"/>
    <mergeCell ref="A7:H7"/>
    <mergeCell ref="A8:H8"/>
    <mergeCell ref="A3:K3"/>
    <mergeCell ref="A13:H13"/>
    <mergeCell ref="A14:H14"/>
    <mergeCell ref="A15:H15"/>
    <mergeCell ref="A16:H16"/>
    <mergeCell ref="A11:H11"/>
    <mergeCell ref="A12:H12"/>
    <mergeCell ref="A21:H21"/>
    <mergeCell ref="A22:K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K35"/>
    <mergeCell ref="A36:H36"/>
    <mergeCell ref="A45:H45"/>
    <mergeCell ref="A46:H46"/>
    <mergeCell ref="A47:H47"/>
    <mergeCell ref="A52:H52"/>
    <mergeCell ref="A41:H41"/>
    <mergeCell ref="A42:H42"/>
    <mergeCell ref="A43:H43"/>
    <mergeCell ref="A44:H44"/>
    <mergeCell ref="A53:H53"/>
    <mergeCell ref="A48:H48"/>
    <mergeCell ref="A49:H49"/>
    <mergeCell ref="A50:H50"/>
    <mergeCell ref="A51:H51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00B0F0"/>
  </sheetPr>
  <dimension ref="A1:L25"/>
  <sheetViews>
    <sheetView view="pageBreakPreview" zoomScale="125" zoomScaleNormal="100" workbookViewId="0">
      <selection activeCell="K15" sqref="K15"/>
    </sheetView>
  </sheetViews>
  <sheetFormatPr defaultRowHeight="12.75"/>
  <cols>
    <col min="1" max="4" width="9.140625" style="76"/>
    <col min="5" max="5" width="10.140625" style="76" bestFit="1" customWidth="1"/>
    <col min="6" max="8" width="9.140625" style="76"/>
    <col min="9" max="9" width="6.5703125" style="76" bestFit="1" customWidth="1"/>
    <col min="10" max="16384" width="9.140625" style="76"/>
  </cols>
  <sheetData>
    <row r="1" spans="1:12">
      <c r="A1" s="281" t="s">
        <v>281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75"/>
    </row>
    <row r="2" spans="1:12" ht="15.75">
      <c r="A2" s="42"/>
      <c r="B2" s="74"/>
      <c r="C2" s="268" t="s">
        <v>282</v>
      </c>
      <c r="D2" s="268"/>
      <c r="E2" s="77">
        <v>41275</v>
      </c>
      <c r="F2" s="43" t="s">
        <v>250</v>
      </c>
      <c r="G2" s="269">
        <v>41639</v>
      </c>
      <c r="H2" s="270"/>
      <c r="I2" s="74"/>
      <c r="J2" s="74"/>
      <c r="K2" s="74"/>
      <c r="L2" s="78"/>
    </row>
    <row r="3" spans="1:12" ht="23.25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305</v>
      </c>
      <c r="J3" s="82" t="s">
        <v>150</v>
      </c>
      <c r="K3" s="82" t="s">
        <v>151</v>
      </c>
    </row>
    <row r="4" spans="1:12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283</v>
      </c>
      <c r="K4" s="83" t="s">
        <v>284</v>
      </c>
    </row>
    <row r="5" spans="1:12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69918310</v>
      </c>
      <c r="K5" s="45">
        <v>69918310</v>
      </c>
    </row>
    <row r="6" spans="1:12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/>
      <c r="K6" s="46"/>
    </row>
    <row r="7" spans="1:12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/>
      <c r="K7" s="46"/>
    </row>
    <row r="8" spans="1:12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-2339368</v>
      </c>
      <c r="K8" s="46">
        <v>-1615135</v>
      </c>
    </row>
    <row r="9" spans="1:12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292">
        <v>724233</v>
      </c>
      <c r="K9" s="46">
        <v>-1356536</v>
      </c>
    </row>
    <row r="10" spans="1:12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2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2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2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2">
      <c r="A14" s="283" t="s">
        <v>294</v>
      </c>
      <c r="B14" s="284"/>
      <c r="C14" s="284"/>
      <c r="D14" s="284"/>
      <c r="E14" s="284"/>
      <c r="F14" s="284"/>
      <c r="G14" s="284"/>
      <c r="H14" s="284"/>
      <c r="I14" s="44">
        <v>10</v>
      </c>
      <c r="J14" s="79">
        <f>SUM(J5:J13)</f>
        <v>68303175</v>
      </c>
      <c r="K14" s="79">
        <f>SUM(K5:K13)</f>
        <v>66946639</v>
      </c>
    </row>
    <row r="15" spans="1:12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2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>
      <c r="A21" s="283" t="s">
        <v>301</v>
      </c>
      <c r="B21" s="284"/>
      <c r="C21" s="284"/>
      <c r="D21" s="284"/>
      <c r="E21" s="284"/>
      <c r="F21" s="284"/>
      <c r="G21" s="284"/>
      <c r="H21" s="284"/>
      <c r="I21" s="44">
        <v>17</v>
      </c>
      <c r="J21" s="80">
        <f>SUM(J15:J20)</f>
        <v>0</v>
      </c>
      <c r="K21" s="80">
        <f>SUM(K15:K20)</f>
        <v>0</v>
      </c>
    </row>
    <row r="22" spans="1:11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>
      <c r="A23" s="275" t="s">
        <v>302</v>
      </c>
      <c r="B23" s="276"/>
      <c r="C23" s="276"/>
      <c r="D23" s="276"/>
      <c r="E23" s="276"/>
      <c r="F23" s="276"/>
      <c r="G23" s="276"/>
      <c r="H23" s="276"/>
      <c r="I23" s="47">
        <v>18</v>
      </c>
      <c r="J23" s="45"/>
      <c r="K23" s="45"/>
    </row>
    <row r="24" spans="1:11" ht="17.25" customHeight="1">
      <c r="A24" s="277" t="s">
        <v>303</v>
      </c>
      <c r="B24" s="278"/>
      <c r="C24" s="278"/>
      <c r="D24" s="278"/>
      <c r="E24" s="278"/>
      <c r="F24" s="278"/>
      <c r="G24" s="278"/>
      <c r="H24" s="278"/>
      <c r="I24" s="48">
        <v>19</v>
      </c>
      <c r="J24" s="80"/>
      <c r="K24" s="80"/>
    </row>
    <row r="25" spans="1:11" ht="30" customHeight="1">
      <c r="A25" s="279" t="s">
        <v>304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</row>
  </sheetData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17:H17"/>
    <mergeCell ref="A18:H18"/>
    <mergeCell ref="A11:H11"/>
    <mergeCell ref="A12:H12"/>
    <mergeCell ref="A13:H13"/>
    <mergeCell ref="A14:H14"/>
    <mergeCell ref="A6:H6"/>
    <mergeCell ref="A7:H7"/>
    <mergeCell ref="A8:H8"/>
    <mergeCell ref="A9:H9"/>
    <mergeCell ref="A10:H10"/>
    <mergeCell ref="C2:D2"/>
    <mergeCell ref="G2:H2"/>
    <mergeCell ref="A3:H3"/>
    <mergeCell ref="A4:H4"/>
    <mergeCell ref="A5:H5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Normal="100" workbookViewId="0"/>
  </sheetViews>
  <sheetFormatPr defaultRowHeight="12.75"/>
  <sheetData>
    <row r="1" spans="1:10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Bilješke!Print_Area</vt:lpstr>
      <vt:lpstr>'OPĆI PODACI'!Print_Area</vt:lpstr>
      <vt:lpstr>PK!Print_Area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2013-10-30T10:32:45Z</dcterms:created>
  <dcterms:modified xsi:type="dcterms:W3CDTF">2014-02-14T12:25:55Z</dcterms:modified>
</cp:coreProperties>
</file>