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'PK'!$A$1:$K$27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<sst xmlns="http://schemas.openxmlformats.org/spreadsheetml/2006/main" count="397" uniqueCount="343">
  <si>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</si>
  <si>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</si>
  <si>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</si>
  <si>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</si>
  <si>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</si>
  <si>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</si>
  <si>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</si>
  <si>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</si>
  <si>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</si>
  <si>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</si>
  <si>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</si>
  <si>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</si>
  <si>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</si>
  <si>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</si>
  <si>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</si>
  <si>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</si>
  <si>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</si>
  <si>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</si>
  <si>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</si>
  <si>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</si>
  <si>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</si>
  <si>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</si>
  <si>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</si>
  <si>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</si>
  <si>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</si>
  <si>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</si>
  <si>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</si>
  <si>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</si>
  <si>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</si>
  <si>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</si>
  <si>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</si>
  <si>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</si>
  <si>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</si>
  <si>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</si>
  <si>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</si>
  <si>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</si>
  <si>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</si>
  <si>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</si>
  <si>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</si>
  <si>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</si>
  <si>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</si>
  <si>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</si>
  <si>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</si>
  <si>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</si>
  <si>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</si>
  <si>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</si>
  <si>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</si>
  <si>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</si>
  <si>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</si>
  <si>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</si>
  <si>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</si>
  <si>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</si>
  <si>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</si>
  <si>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</si>
  <si>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</si>
  <si>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</si>
  <si>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</si>
  <si>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</si>
  <si>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</si>
  <si>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</si>
  <si>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</si>
  <si>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</si>
  <si>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</si>
  <si>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</si>
  <si>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</si>
  <si>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</si>
  <si>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</si>
  <si>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</si>
  <si>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</si>
  <si>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</si>
  <si>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</si>
  <si>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</si>
  <si>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</si>
  <si>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</si>
  <si>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</si>
  <si>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</si>
  <si>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</si>
  <si>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</si>
  <si>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</si>
  <si>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</si>
  <si>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</si>
  <si>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</si>
  <si>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</si>
  <si>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</si>
  <si>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</si>
  <si>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</si>
  <si>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</si>
  <si>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</si>
  <si>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</si>
  <si>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</si>
  <si>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</si>
  <si>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</si>
  <si>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</si>
  <si>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</si>
  <si>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</si>
  <si>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</si>
  <si>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</si>
  <si>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</si>
  <si>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</si>
  <si>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</si>
  <si>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</si>
  <si>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</si>
  <si>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</si>
  <si>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</si>
  <si>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</si>
  <si>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</si>
  <si>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</si>
  <si>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</si>
  <si>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</si>
  <si>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</si>
  <si>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</si>
  <si>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</si>
  <si>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</si>
  <si>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</si>
  <si>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</si>
  <si>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</si>
  <si>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</si>
  <si>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</si>
  <si>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</si>
  <si>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</si>
  <si>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</si>
  <si>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</si>
  <si>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</si>
  <si>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</si>
  <si>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</si>
  <si>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</si>
  <si>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</si>
  <si>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</si>
  <si>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</si>
  <si>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</si>
  <si>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</si>
  <si>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</si>
  <si>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</si>
  <si>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</si>
  <si>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</si>
  <si>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</si>
  <si>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</si>
  <si>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</si>
  <si>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</si>
  <si>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</si>
  <si>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</si>
  <si>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</si>
  <si>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</si>
  <si>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</si>
  <si>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</si>
  <si>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</si>
  <si>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</si>
  <si>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</si>
  <si>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</si>
  <si>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</si>
  <si>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</si>
  <si>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</si>
  <si>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</si>
  <si>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</si>
  <si>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</si>
  <si>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</si>
  <si>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</si>
  <si>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</si>
  <si>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</si>
  <si>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</si>
  <si>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</si>
  <si>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</si>
  <si>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</si>
  <si>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</si>
  <si>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</si>
  <si>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</si>
  <si>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</si>
  <si>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</si>
  <si>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</si>
  <si>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</si>
  <si>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</si>
  <si>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</si>
  <si>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</si>
  <si>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</si>
  <si>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</si>
  <si>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</si>
  <si>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</si>
  <si>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</si>
  <si>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</si>
  <si>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</si>
  <si>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</si>
  <si>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</si>
  <si>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</si>
  <si>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</si>
  <si>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</si>
  <si>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</si>
  <si>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</si>
  <si>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</si>
  <si>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</si>
  <si>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</si>
  <si>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</si>
  <si>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</si>
  <si>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</si>
  <si>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</si>
  <si>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</si>
  <si>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</si>
  <si>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</si>
  <si>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</si>
  <si>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</si>
  <si>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</si>
  <si>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</si>
  <si>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</si>
  <si>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</si>
  <si>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</si>
  <si>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</si>
  <si>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</si>
  <si>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</si>
  <si>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</si>
  <si>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</si>
  <si>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</si>
  <si>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</si>
  <si>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</si>
  <si>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</si>
  <si>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</si>
  <si>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</si>
  <si>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</si>
  <si>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</si>
  <si>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</si>
  <si>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</si>
  <si>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</si>
  <si>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</si>
  <si>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</si>
  <si>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</si>
  <si>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</si>
  <si>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</si>
  <si>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</si>
  <si>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</si>
  <si>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</si>
  <si>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</si>
  <si>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</si>
  <si>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</si>
  <si>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</si>
  <si>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</si>
  <si>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</si>
  <si>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</si>
  <si>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</si>
  <si>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</si>
  <si>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</si>
  <si>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</si>
  <si>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</si>
  <si>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</si>
  <si>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</si>
  <si>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</si>
  <si>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</si>
  <si>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</si>
  <si>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</si>
  <si>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</si>
  <si>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</si>
  <si>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</si>
  <si>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</si>
  <si>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</si>
  <si>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</si>
  <si>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</si>
  <si>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</si>
  <si>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</si>
  <si>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</si>
  <si>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</si>
  <si>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</si>
  <si>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</si>
  <si>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</si>
  <si>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</si>
  <si>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</si>
  <si>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</si>
  <si>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</si>
  <si>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</si>
  <si>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</si>
  <si>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</si>
  <si>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</si>
  <si>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</si>
  <si>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</si>
  <si>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</si>
  <si>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</si>
  <si>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</si>
  <si>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</si>
  <si>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</si>
  <si>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</si>
  <si>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</si>
  <si>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</si>
  <si>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</si>
  <si>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</si>
  <si>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</si>
  <si>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</si>
  <si>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</si>
  <si>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</si>
  <si>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</si>
  <si>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</si>
  <si>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</si>
  <si>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</si>
  <si>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</si>
  <si>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</si>
  <si>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</si>
  <si>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</si>
  <si>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</si>
  <si>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</si>
  <si>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</si>
  <si>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</si>
  <si>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</si>
  <si>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</si>
  <si>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</si>
  <si>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</si>
  <si>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</si>
  <si>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</si>
  <si>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</si>
  <si>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</si>
  <si>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</si>
  <si>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</si>
  <si>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</si>
  <si>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</si>
  <si>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</si>
  <si>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</si>
  <si>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</si>
  <si>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</si>
  <si>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</si>
  <si>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</si>
  <si>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</si>
  <si>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</si>
  <si>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</si>
  <si>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</si>
  <si>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</si>
  <si>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</si>
  <si>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</si>
  <si>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</si>
  <si>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</si>
  <si>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</si>
  <si>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</si>
  <si>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</si>
  <si>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</si>
  <si>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</si>
  <si>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</si>
  <si>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</si>
  <si>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</si>
  <si>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</si>
  <si>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</si>
  <si>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</si>
  <si>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</si>
  <si>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</si>
  <si>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</si>
  <si>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</si>
  <si>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</si>
  <si>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31.12.2011.</t>
  </si>
  <si>
    <t>Maraska d.d.</t>
  </si>
  <si>
    <t>OIB: 07602786563</t>
  </si>
  <si>
    <t>stanje na dan 31.12.2012.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</si>
</sst>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0"/>
    <numFmt numFmtId="195" formatCode="#,##0.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194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195" fontId="1" fillId="0" borderId="16" xfId="0" applyNumberFormat="1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>
      <alignment horizontal="center" vertical="center" wrapText="1"/>
      <protection/>
    </xf>
    <xf numFmtId="14" fontId="2" fillId="0" borderId="0" xfId="57" applyNumberFormat="1" applyFont="1" applyFill="1" applyBorder="1" applyAlignment="1" applyProtection="1">
      <alignment horizontal="left"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7" t="s">
        <v>339</v>
      </c>
      <c r="B2" s="138"/>
      <c r="C2" s="138"/>
      <c r="D2" s="139"/>
      <c r="E2" s="118">
        <v>40909</v>
      </c>
      <c r="F2" s="12"/>
      <c r="G2" s="131" t="s">
        <v>249</v>
      </c>
      <c r="H2" s="118">
        <v>41274</v>
      </c>
      <c r="I2" s="85"/>
      <c r="J2" s="10"/>
      <c r="K2" s="10"/>
      <c r="L2" s="10"/>
    </row>
    <row r="3" spans="1:12" ht="12.75">
      <c r="A3" s="86"/>
      <c r="B3" s="13"/>
      <c r="C3" s="13"/>
      <c r="D3" s="13"/>
      <c r="E3" s="14"/>
      <c r="F3" s="14"/>
      <c r="G3" s="13"/>
      <c r="H3" s="13"/>
      <c r="I3" s="87"/>
      <c r="J3" s="10"/>
      <c r="K3" s="10"/>
      <c r="L3" s="10"/>
    </row>
    <row r="4" spans="1:12" ht="15">
      <c r="A4" s="140" t="s">
        <v>316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8"/>
      <c r="B5" s="15"/>
      <c r="C5" s="15"/>
      <c r="D5" s="15"/>
      <c r="E5" s="16"/>
      <c r="F5" s="89"/>
      <c r="G5" s="17"/>
      <c r="H5" s="18"/>
      <c r="I5" s="90"/>
      <c r="J5" s="10"/>
      <c r="K5" s="10"/>
      <c r="L5" s="10"/>
    </row>
    <row r="6" spans="1:12" ht="12.75">
      <c r="A6" s="143" t="s">
        <v>250</v>
      </c>
      <c r="B6" s="144"/>
      <c r="C6" s="135" t="s">
        <v>322</v>
      </c>
      <c r="D6" s="136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1"/>
      <c r="C7" s="15"/>
      <c r="D7" s="15"/>
      <c r="E7" s="28"/>
      <c r="F7" s="28"/>
      <c r="G7" s="28"/>
      <c r="H7" s="28"/>
      <c r="I7" s="91"/>
      <c r="J7" s="10"/>
      <c r="K7" s="10"/>
      <c r="L7" s="10"/>
    </row>
    <row r="8" spans="1:12" ht="12.75">
      <c r="A8" s="145" t="s">
        <v>251</v>
      </c>
      <c r="B8" s="146"/>
      <c r="C8" s="135" t="s">
        <v>323</v>
      </c>
      <c r="D8" s="136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8"/>
      <c r="C9" s="19"/>
      <c r="D9" s="25"/>
      <c r="E9" s="15"/>
      <c r="F9" s="15"/>
      <c r="G9" s="15"/>
      <c r="H9" s="15"/>
      <c r="I9" s="93"/>
      <c r="J9" s="10"/>
      <c r="K9" s="10"/>
      <c r="L9" s="10"/>
    </row>
    <row r="10" spans="1:12" ht="12.75">
      <c r="A10" s="132" t="s">
        <v>252</v>
      </c>
      <c r="B10" s="133"/>
      <c r="C10" s="135" t="s">
        <v>324</v>
      </c>
      <c r="D10" s="136"/>
      <c r="E10" s="15"/>
      <c r="F10" s="15"/>
      <c r="G10" s="15"/>
      <c r="H10" s="15"/>
      <c r="I10" s="93"/>
      <c r="J10" s="10"/>
      <c r="K10" s="10"/>
      <c r="L10" s="10"/>
    </row>
    <row r="11" spans="1:12" ht="12.75">
      <c r="A11" s="134"/>
      <c r="B11" s="133"/>
      <c r="C11" s="15"/>
      <c r="D11" s="15"/>
      <c r="E11" s="15"/>
      <c r="F11" s="15"/>
      <c r="G11" s="15"/>
      <c r="H11" s="15"/>
      <c r="I11" s="93"/>
      <c r="J11" s="10"/>
      <c r="K11" s="10"/>
      <c r="L11" s="10"/>
    </row>
    <row r="12" spans="1:12" ht="12.75">
      <c r="A12" s="143" t="s">
        <v>253</v>
      </c>
      <c r="B12" s="144"/>
      <c r="C12" s="147" t="s">
        <v>325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2"/>
      <c r="B13" s="21"/>
      <c r="C13" s="20"/>
      <c r="D13" s="15"/>
      <c r="E13" s="15"/>
      <c r="F13" s="15"/>
      <c r="G13" s="15"/>
      <c r="H13" s="15"/>
      <c r="I13" s="93"/>
      <c r="J13" s="10"/>
      <c r="K13" s="10"/>
      <c r="L13" s="10"/>
    </row>
    <row r="14" spans="1:12" ht="12.75">
      <c r="A14" s="143" t="s">
        <v>254</v>
      </c>
      <c r="B14" s="144"/>
      <c r="C14" s="150">
        <v>23000</v>
      </c>
      <c r="D14" s="151"/>
      <c r="E14" s="15"/>
      <c r="F14" s="147" t="s">
        <v>326</v>
      </c>
      <c r="G14" s="148"/>
      <c r="H14" s="148"/>
      <c r="I14" s="149"/>
      <c r="J14" s="10"/>
      <c r="K14" s="10"/>
      <c r="L14" s="10"/>
    </row>
    <row r="15" spans="1:12" ht="12.75">
      <c r="A15" s="92"/>
      <c r="B15" s="21"/>
      <c r="C15" s="15"/>
      <c r="D15" s="15"/>
      <c r="E15" s="15"/>
      <c r="F15" s="15"/>
      <c r="G15" s="15"/>
      <c r="H15" s="15"/>
      <c r="I15" s="93"/>
      <c r="J15" s="10"/>
      <c r="K15" s="10"/>
      <c r="L15" s="10"/>
    </row>
    <row r="16" spans="1:12" ht="12.75">
      <c r="A16" s="143" t="s">
        <v>255</v>
      </c>
      <c r="B16" s="144"/>
      <c r="C16" s="147" t="s">
        <v>327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2"/>
      <c r="B17" s="21"/>
      <c r="C17" s="15"/>
      <c r="D17" s="15"/>
      <c r="E17" s="15"/>
      <c r="F17" s="15"/>
      <c r="G17" s="15"/>
      <c r="H17" s="15"/>
      <c r="I17" s="93"/>
      <c r="J17" s="10"/>
      <c r="K17" s="10"/>
      <c r="L17" s="10"/>
    </row>
    <row r="18" spans="1:12" ht="12.75">
      <c r="A18" s="143" t="s">
        <v>256</v>
      </c>
      <c r="B18" s="144"/>
      <c r="C18" s="152" t="s">
        <v>328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2"/>
      <c r="B19" s="21"/>
      <c r="C19" s="20"/>
      <c r="D19" s="15"/>
      <c r="E19" s="15"/>
      <c r="F19" s="15"/>
      <c r="G19" s="15"/>
      <c r="H19" s="15"/>
      <c r="I19" s="93"/>
      <c r="J19" s="10"/>
      <c r="K19" s="10"/>
      <c r="L19" s="10"/>
    </row>
    <row r="20" spans="1:12" ht="12.75">
      <c r="A20" s="143" t="s">
        <v>257</v>
      </c>
      <c r="B20" s="144"/>
      <c r="C20" s="152" t="s">
        <v>329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2"/>
      <c r="B21" s="21"/>
      <c r="C21" s="20"/>
      <c r="D21" s="15"/>
      <c r="E21" s="15"/>
      <c r="F21" s="15"/>
      <c r="G21" s="15"/>
      <c r="H21" s="15"/>
      <c r="I21" s="93"/>
      <c r="J21" s="10"/>
      <c r="K21" s="10"/>
      <c r="L21" s="10"/>
    </row>
    <row r="22" spans="1:12" ht="12.75">
      <c r="A22" s="143" t="s">
        <v>258</v>
      </c>
      <c r="B22" s="144"/>
      <c r="C22" s="119">
        <v>520</v>
      </c>
      <c r="D22" s="147" t="s">
        <v>326</v>
      </c>
      <c r="E22" s="155"/>
      <c r="F22" s="156"/>
      <c r="G22" s="143"/>
      <c r="H22" s="157"/>
      <c r="I22" s="95"/>
      <c r="J22" s="10"/>
      <c r="K22" s="10"/>
      <c r="L22" s="10"/>
    </row>
    <row r="23" spans="1:12" ht="12.75">
      <c r="A23" s="92"/>
      <c r="B23" s="21"/>
      <c r="C23" s="15"/>
      <c r="D23" s="23"/>
      <c r="E23" s="23"/>
      <c r="F23" s="23"/>
      <c r="G23" s="23"/>
      <c r="H23" s="15"/>
      <c r="I23" s="93"/>
      <c r="J23" s="10"/>
      <c r="K23" s="10"/>
      <c r="L23" s="10"/>
    </row>
    <row r="24" spans="1:12" ht="12.75">
      <c r="A24" s="143" t="s">
        <v>259</v>
      </c>
      <c r="B24" s="144"/>
      <c r="C24" s="119">
        <v>13</v>
      </c>
      <c r="D24" s="147" t="s">
        <v>330</v>
      </c>
      <c r="E24" s="155"/>
      <c r="F24" s="155"/>
      <c r="G24" s="156"/>
      <c r="H24" s="49" t="s">
        <v>260</v>
      </c>
      <c r="I24" s="120">
        <v>128</v>
      </c>
      <c r="J24" s="10"/>
      <c r="K24" s="10"/>
      <c r="L24" s="10"/>
    </row>
    <row r="25" spans="1:12" ht="12.75">
      <c r="A25" s="92"/>
      <c r="B25" s="21"/>
      <c r="C25" s="15"/>
      <c r="D25" s="23"/>
      <c r="E25" s="23"/>
      <c r="F25" s="23"/>
      <c r="G25" s="21"/>
      <c r="H25" s="21" t="s">
        <v>317</v>
      </c>
      <c r="I25" s="96"/>
      <c r="J25" s="10"/>
      <c r="K25" s="10"/>
      <c r="L25" s="10"/>
    </row>
    <row r="26" spans="1:12" ht="12.75">
      <c r="A26" s="143" t="s">
        <v>261</v>
      </c>
      <c r="B26" s="144"/>
      <c r="C26" s="121" t="s">
        <v>332</v>
      </c>
      <c r="D26" s="24"/>
      <c r="E26" s="32"/>
      <c r="F26" s="23"/>
      <c r="G26" s="158" t="s">
        <v>262</v>
      </c>
      <c r="H26" s="144"/>
      <c r="I26" s="122" t="s">
        <v>331</v>
      </c>
      <c r="J26" s="10"/>
      <c r="K26" s="10"/>
      <c r="L26" s="10"/>
    </row>
    <row r="27" spans="1:12" ht="12.75">
      <c r="A27" s="92"/>
      <c r="B27" s="21"/>
      <c r="C27" s="15"/>
      <c r="D27" s="23"/>
      <c r="E27" s="23"/>
      <c r="F27" s="23"/>
      <c r="G27" s="23"/>
      <c r="H27" s="15"/>
      <c r="I27" s="97"/>
      <c r="J27" s="10"/>
      <c r="K27" s="10"/>
      <c r="L27" s="10"/>
    </row>
    <row r="28" spans="1:12" ht="12.75">
      <c r="A28" s="159" t="s">
        <v>263</v>
      </c>
      <c r="B28" s="160"/>
      <c r="C28" s="161"/>
      <c r="D28" s="161"/>
      <c r="E28" s="162" t="s">
        <v>264</v>
      </c>
      <c r="F28" s="163"/>
      <c r="G28" s="163"/>
      <c r="H28" s="164" t="s">
        <v>265</v>
      </c>
      <c r="I28" s="165"/>
      <c r="J28" s="10"/>
      <c r="K28" s="10"/>
      <c r="L28" s="10"/>
    </row>
    <row r="29" spans="1:12" ht="12.75">
      <c r="A29" s="98"/>
      <c r="B29" s="32"/>
      <c r="C29" s="32"/>
      <c r="D29" s="25"/>
      <c r="E29" s="15"/>
      <c r="F29" s="15"/>
      <c r="G29" s="15"/>
      <c r="H29" s="26"/>
      <c r="I29" s="97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2"/>
      <c r="B31" s="21"/>
      <c r="C31" s="20"/>
      <c r="D31" s="169"/>
      <c r="E31" s="169"/>
      <c r="F31" s="169"/>
      <c r="G31" s="170"/>
      <c r="H31" s="15"/>
      <c r="I31" s="99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10"/>
      <c r="K32" s="10"/>
      <c r="L32" s="10"/>
    </row>
    <row r="33" spans="1:12" ht="12.75">
      <c r="A33" s="92"/>
      <c r="B33" s="21"/>
      <c r="C33" s="20"/>
      <c r="D33" s="27"/>
      <c r="E33" s="27"/>
      <c r="F33" s="27"/>
      <c r="G33" s="28"/>
      <c r="H33" s="15"/>
      <c r="I33" s="100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10"/>
      <c r="K34" s="10"/>
      <c r="L34" s="10"/>
    </row>
    <row r="35" spans="1:12" ht="12.75">
      <c r="A35" s="92"/>
      <c r="B35" s="21"/>
      <c r="C35" s="20"/>
      <c r="D35" s="27"/>
      <c r="E35" s="27"/>
      <c r="F35" s="27"/>
      <c r="G35" s="28"/>
      <c r="H35" s="15"/>
      <c r="I35" s="100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10"/>
      <c r="K36" s="10"/>
      <c r="L36" s="10"/>
    </row>
    <row r="37" spans="1:12" ht="12.75">
      <c r="A37" s="101"/>
      <c r="B37" s="29"/>
      <c r="C37" s="171"/>
      <c r="D37" s="172"/>
      <c r="E37" s="15"/>
      <c r="F37" s="171"/>
      <c r="G37" s="172"/>
      <c r="H37" s="15"/>
      <c r="I37" s="93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1"/>
      <c r="B39" s="29"/>
      <c r="C39" s="30"/>
      <c r="D39" s="31"/>
      <c r="E39" s="15"/>
      <c r="F39" s="30"/>
      <c r="G39" s="31"/>
      <c r="H39" s="15"/>
      <c r="I39" s="93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5"/>
      <c r="F42" s="30"/>
      <c r="G42" s="31"/>
      <c r="H42" s="15"/>
      <c r="I42" s="93"/>
      <c r="J42" s="10"/>
      <c r="K42" s="10"/>
      <c r="L42" s="10"/>
    </row>
    <row r="43" spans="1:12" ht="12.75">
      <c r="A43" s="103"/>
      <c r="B43" s="33"/>
      <c r="C43" s="33"/>
      <c r="D43" s="19"/>
      <c r="E43" s="19"/>
      <c r="F43" s="33"/>
      <c r="G43" s="19"/>
      <c r="H43" s="19"/>
      <c r="I43" s="104"/>
      <c r="J43" s="10"/>
      <c r="K43" s="10"/>
      <c r="L43" s="10"/>
    </row>
    <row r="44" spans="1:12" ht="12.75">
      <c r="A44" s="132" t="s">
        <v>266</v>
      </c>
      <c r="B44" s="176"/>
      <c r="C44" s="135"/>
      <c r="D44" s="136"/>
      <c r="E44" s="25"/>
      <c r="F44" s="147"/>
      <c r="G44" s="167"/>
      <c r="H44" s="167"/>
      <c r="I44" s="168"/>
      <c r="J44" s="10"/>
      <c r="K44" s="10"/>
      <c r="L44" s="10"/>
    </row>
    <row r="45" spans="1:12" ht="12.75">
      <c r="A45" s="101"/>
      <c r="B45" s="29"/>
      <c r="C45" s="171"/>
      <c r="D45" s="172"/>
      <c r="E45" s="15"/>
      <c r="F45" s="171"/>
      <c r="G45" s="173"/>
      <c r="H45" s="34"/>
      <c r="I45" s="105"/>
      <c r="J45" s="10"/>
      <c r="K45" s="10"/>
      <c r="L45" s="10"/>
    </row>
    <row r="46" spans="1:12" ht="12.75">
      <c r="A46" s="132" t="s">
        <v>267</v>
      </c>
      <c r="B46" s="176"/>
      <c r="C46" s="147" t="s">
        <v>333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2"/>
      <c r="B47" s="21"/>
      <c r="C47" s="20" t="s">
        <v>268</v>
      </c>
      <c r="D47" s="15"/>
      <c r="E47" s="15"/>
      <c r="F47" s="15"/>
      <c r="G47" s="15"/>
      <c r="H47" s="15"/>
      <c r="I47" s="93"/>
      <c r="J47" s="10"/>
      <c r="K47" s="10"/>
      <c r="L47" s="10"/>
    </row>
    <row r="48" spans="1:12" ht="12.75">
      <c r="A48" s="132" t="s">
        <v>269</v>
      </c>
      <c r="B48" s="176"/>
      <c r="C48" s="177" t="s">
        <v>334</v>
      </c>
      <c r="D48" s="178"/>
      <c r="E48" s="179"/>
      <c r="F48" s="15"/>
      <c r="G48" s="49" t="s">
        <v>270</v>
      </c>
      <c r="H48" s="177" t="s">
        <v>335</v>
      </c>
      <c r="I48" s="179"/>
      <c r="J48" s="10"/>
      <c r="K48" s="10"/>
      <c r="L48" s="10"/>
    </row>
    <row r="49" spans="1:12" ht="12.75">
      <c r="A49" s="92"/>
      <c r="B49" s="21"/>
      <c r="C49" s="20"/>
      <c r="D49" s="15"/>
      <c r="E49" s="15"/>
      <c r="F49" s="15"/>
      <c r="G49" s="15"/>
      <c r="H49" s="15"/>
      <c r="I49" s="93"/>
      <c r="J49" s="10"/>
      <c r="K49" s="10"/>
      <c r="L49" s="10"/>
    </row>
    <row r="50" spans="1:12" ht="12.75">
      <c r="A50" s="132" t="s">
        <v>256</v>
      </c>
      <c r="B50" s="176"/>
      <c r="C50" s="188" t="s">
        <v>336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2"/>
      <c r="B51" s="21"/>
      <c r="C51" s="15"/>
      <c r="D51" s="15"/>
      <c r="E51" s="15"/>
      <c r="F51" s="15"/>
      <c r="G51" s="15"/>
      <c r="H51" s="15"/>
      <c r="I51" s="93"/>
      <c r="J51" s="10"/>
      <c r="K51" s="10"/>
      <c r="L51" s="10"/>
    </row>
    <row r="52" spans="1:12" ht="12.75">
      <c r="A52" s="143" t="s">
        <v>271</v>
      </c>
      <c r="B52" s="144"/>
      <c r="C52" s="177" t="s">
        <v>337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6"/>
      <c r="B53" s="19"/>
      <c r="C53" s="182" t="s">
        <v>272</v>
      </c>
      <c r="D53" s="182"/>
      <c r="E53" s="182"/>
      <c r="F53" s="182"/>
      <c r="G53" s="182"/>
      <c r="H53" s="182"/>
      <c r="I53" s="107"/>
      <c r="J53" s="10"/>
      <c r="K53" s="10"/>
      <c r="L53" s="10"/>
    </row>
    <row r="54" spans="1:12" ht="12.75">
      <c r="A54" s="106"/>
      <c r="B54" s="19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89" t="s">
        <v>273</v>
      </c>
      <c r="C55" s="190"/>
      <c r="D55" s="190"/>
      <c r="E55" s="190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91" t="s">
        <v>305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6"/>
      <c r="B57" s="191" t="s">
        <v>306</v>
      </c>
      <c r="C57" s="192"/>
      <c r="D57" s="192"/>
      <c r="E57" s="192"/>
      <c r="F57" s="192"/>
      <c r="G57" s="192"/>
      <c r="H57" s="192"/>
      <c r="I57" s="108"/>
      <c r="J57" s="10"/>
      <c r="K57" s="10"/>
      <c r="L57" s="10"/>
    </row>
    <row r="58" spans="1:12" ht="12.75">
      <c r="A58" s="106"/>
      <c r="B58" s="191" t="s">
        <v>307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6"/>
      <c r="B59" s="191" t="s">
        <v>308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5"/>
      <c r="C61" s="15"/>
      <c r="D61" s="15"/>
      <c r="E61" s="15"/>
      <c r="F61" s="15"/>
      <c r="G61" s="36"/>
      <c r="H61" s="37"/>
      <c r="I61" s="113"/>
      <c r="J61" s="10"/>
      <c r="K61" s="10"/>
      <c r="L61" s="10"/>
    </row>
    <row r="62" spans="1:12" ht="12.75">
      <c r="A62" s="88"/>
      <c r="B62" s="15"/>
      <c r="C62" s="15"/>
      <c r="D62" s="15"/>
      <c r="E62" s="19" t="s">
        <v>275</v>
      </c>
      <c r="F62" s="32"/>
      <c r="G62" s="183" t="s">
        <v>276</v>
      </c>
      <c r="H62" s="184"/>
      <c r="I62" s="18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6"/>
      <c r="H63" s="18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view="pageBreakPreview" zoomScale="110" zoomScaleSheetLayoutView="110" zoomScalePageLayoutView="0" workbookViewId="0" topLeftCell="A103">
      <selection activeCell="K46" sqref="K46"/>
    </sheetView>
  </sheetViews>
  <sheetFormatPr defaultColWidth="9.140625" defaultRowHeight="12.75"/>
  <cols>
    <col min="1" max="8" width="9.140625" style="50" customWidth="1"/>
    <col min="9" max="9" width="5.57421875" style="50" bestFit="1" customWidth="1"/>
    <col min="10" max="10" width="9.8515625" style="50" bestFit="1" customWidth="1"/>
    <col min="11" max="11" width="10.421875" style="50" customWidth="1"/>
    <col min="12" max="16384" width="9.140625" style="50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6" t="s">
        <v>277</v>
      </c>
      <c r="J4" s="57" t="s">
        <v>318</v>
      </c>
      <c r="K4" s="58" t="s">
        <v>319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5">
        <v>2</v>
      </c>
      <c r="J5" s="54">
        <v>3</v>
      </c>
      <c r="K5" s="54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1">
        <f>J9+J16+J26+J35+J39</f>
        <v>133262803</v>
      </c>
      <c r="K8" s="51">
        <f>K9+K16+K26+K35+K39</f>
        <v>136897627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1">
        <f>SUM(J10:J15)</f>
        <v>866441</v>
      </c>
      <c r="K9" s="51">
        <f>SUM(K10:K15)</f>
        <v>865756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685</v>
      </c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865756</v>
      </c>
      <c r="K14" s="7">
        <v>865756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1">
        <f>SUM(J17:J25)</f>
        <v>132374362</v>
      </c>
      <c r="K16" s="51">
        <f>SUM(K17:K25)</f>
        <v>136009871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30056155</v>
      </c>
      <c r="K17" s="7">
        <v>30056155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35720816</v>
      </c>
      <c r="K18" s="7">
        <f>82994996-48682665</f>
        <v>34312331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21589875</v>
      </c>
      <c r="K19" s="7">
        <f>54837882-33623892</f>
        <v>21213990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5504362</v>
      </c>
      <c r="K20" s="7">
        <f>81657005-54837882-103228716+48682665+33623892+953144+11800</f>
        <v>6861908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38558132</v>
      </c>
      <c r="K21" s="7">
        <f>43614616-953144</f>
        <v>42661472</v>
      </c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945022</v>
      </c>
      <c r="K23" s="7">
        <v>904015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1">
        <f>SUM(J27:J34)</f>
        <v>22000</v>
      </c>
      <c r="K26" s="51">
        <f>SUM(K27:K34)</f>
        <v>22000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22000</v>
      </c>
      <c r="K29" s="7">
        <v>22000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1">
        <f>J41+J49+J56+J64</f>
        <v>80218933</v>
      </c>
      <c r="K40" s="51">
        <f>K41+K49+K56+K64</f>
        <v>90135063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1">
        <f>SUM(J42:J48)</f>
        <v>43112792</v>
      </c>
      <c r="K41" s="51">
        <f>SUM(K42:K48)</f>
        <v>51073778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13640358</v>
      </c>
      <c r="K42" s="7">
        <v>15844408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10454441</v>
      </c>
      <c r="K43" s="7">
        <f>2711315+8483188</f>
        <v>11194503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17791942</v>
      </c>
      <c r="K44" s="7">
        <f>23210402-559365+119494</f>
        <v>22770531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1226051</v>
      </c>
      <c r="K45" s="7">
        <f>35235433-K43-K44-6063</f>
        <v>1264336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1">
        <f>SUM(J50:J55)</f>
        <v>35289373</v>
      </c>
      <c r="K49" s="51">
        <f>SUM(K50:K55)</f>
        <v>37025967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32648076</v>
      </c>
      <c r="K51" s="7">
        <f>39868391+3689225-8303398</f>
        <v>35254218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176759</v>
      </c>
      <c r="K53" s="7">
        <f>171716+63152</f>
        <v>234868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605338</v>
      </c>
      <c r="K54" s="7">
        <f>44878+91298</f>
        <v>136176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1859200</v>
      </c>
      <c r="K55" s="7">
        <f>524+1400181</f>
        <v>1400705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1">
        <f>SUM(J57:J63)</f>
        <v>604436</v>
      </c>
      <c r="K56" s="51">
        <f>SUM(K57:K63)</f>
        <v>1307764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604436</v>
      </c>
      <c r="K62" s="7">
        <v>1307764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1212332</v>
      </c>
      <c r="K64" s="7">
        <v>727554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5991538</v>
      </c>
      <c r="K65" s="7">
        <v>12024011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1">
        <f>J7+J8+J40+J65</f>
        <v>219473274</v>
      </c>
      <c r="K66" s="51">
        <f>K7+K8+K40+K65</f>
        <v>239056701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2">
        <f>J70+J71+J72+J78+J79+J82+J85</f>
        <v>19976143</v>
      </c>
      <c r="K69" s="52">
        <f>K70+K71+K72+K78+K79+K82+K85</f>
        <v>68319189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95637900</v>
      </c>
      <c r="K70" s="7">
        <v>69918310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1">
        <f>J73+J74-J75+J76+J77</f>
        <v>0</v>
      </c>
      <c r="K72" s="51">
        <f>K73+K74-K75+K76+K77</f>
        <v>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1">
        <f>J80-J81</f>
        <v>-67505413</v>
      </c>
      <c r="K79" s="51">
        <f>K80-K81</f>
        <v>-2339367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67505413</v>
      </c>
      <c r="K81" s="7">
        <f>J81+J84-73322390</f>
        <v>2339367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1">
        <f>J83-J84</f>
        <v>-8156344</v>
      </c>
      <c r="K82" s="51">
        <f>K83-K84</f>
        <v>740246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740246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8156344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1">
        <f>SUM(J91:J99)</f>
        <v>87229766</v>
      </c>
      <c r="K90" s="51">
        <f>SUM(K91:K99)</f>
        <v>73318596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11365000</v>
      </c>
      <c r="K92" s="7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75864766</v>
      </c>
      <c r="K93" s="7">
        <v>73318596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1">
        <f>SUM(J101:J112)</f>
        <v>111218122</v>
      </c>
      <c r="K100" s="51">
        <f>SUM(K101:K112)</f>
        <v>93991460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62394435</v>
      </c>
      <c r="K102" s="7">
        <v>30806729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4540422</v>
      </c>
      <c r="K103" s="7">
        <v>10897103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567111</v>
      </c>
      <c r="K104" s="7">
        <v>567111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28816195</v>
      </c>
      <c r="K105" s="7">
        <f>26223287+4592815-574195</f>
        <v>30241907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644989</v>
      </c>
      <c r="K108" s="7">
        <f>67061+577010</f>
        <v>644071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14254970</v>
      </c>
      <c r="K109" s="7">
        <f>3550878+8514972+187174+2677508+4139844+1978183-214020</f>
        <v>20834539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1049243</v>
      </c>
      <c r="K113" s="7">
        <v>3427456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1">
        <f>J69+J86+J90+J100+J113</f>
        <v>219473274</v>
      </c>
      <c r="K114" s="51">
        <f>K69+K86+K90+K100+K113</f>
        <v>239056701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309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310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71"/>
  <sheetViews>
    <sheetView tabSelected="1" view="pageBreakPreview" zoomScale="110" zoomScaleSheetLayoutView="110" zoomScalePageLayoutView="0" workbookViewId="0" topLeftCell="A1">
      <selection activeCell="J50" sqref="J50"/>
    </sheetView>
  </sheetViews>
  <sheetFormatPr defaultColWidth="9.140625" defaultRowHeight="12.75"/>
  <cols>
    <col min="1" max="8" width="9.140625" style="50" customWidth="1"/>
    <col min="9" max="9" width="6.57421875" style="50" bestFit="1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6" t="s">
        <v>278</v>
      </c>
      <c r="J4" s="255" t="s">
        <v>318</v>
      </c>
      <c r="K4" s="255"/>
      <c r="L4" s="255" t="s">
        <v>319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2">
        <f>SUM(J8:J9)</f>
        <v>124298331</v>
      </c>
      <c r="K7" s="52">
        <f>SUM(K8:K9)</f>
        <v>31496100</v>
      </c>
      <c r="L7" s="52">
        <f>SUM(L8:L9)</f>
        <v>132615339</v>
      </c>
      <c r="M7" s="52">
        <f>SUM(M8:M9)</f>
        <v>33675739</v>
      </c>
    </row>
    <row r="8" spans="1:15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120696245</v>
      </c>
      <c r="K8" s="7">
        <f>J8-92140156</f>
        <v>28556089</v>
      </c>
      <c r="L8" s="7">
        <f>122632391+4170981</f>
        <v>126803372</v>
      </c>
      <c r="M8" s="7">
        <f>L8-97688721</f>
        <v>29114651</v>
      </c>
      <c r="O8" s="128"/>
    </row>
    <row r="9" spans="1:15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3602086</v>
      </c>
      <c r="K9" s="7">
        <f>J9-662075</f>
        <v>2940011</v>
      </c>
      <c r="L9" s="7">
        <v>5811967</v>
      </c>
      <c r="M9" s="7">
        <f>L9-1250879</f>
        <v>4561088</v>
      </c>
      <c r="O9" s="128"/>
    </row>
    <row r="10" spans="1:15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1">
        <f>J11+J12+J16+J20+J21+J22+J25+J26</f>
        <v>124034711</v>
      </c>
      <c r="K10" s="51">
        <f>K11+K12+K16+K20+K21+K22+K25+K26</f>
        <v>34603856</v>
      </c>
      <c r="L10" s="51">
        <f>L11+L12+L16+L20+L21+L22+L25+L26</f>
        <v>125228996</v>
      </c>
      <c r="M10" s="51">
        <f>M11+M12+M16+M20+M21+M22+M25+M26</f>
        <v>32049298</v>
      </c>
      <c r="N10" s="127"/>
      <c r="O10" s="128"/>
    </row>
    <row r="11" spans="1:15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-2079227</v>
      </c>
      <c r="K11" s="7">
        <f>J11+999319</f>
        <v>-1079908</v>
      </c>
      <c r="L11" s="7">
        <f>-81112386+75393735</f>
        <v>-5718651</v>
      </c>
      <c r="M11" s="7">
        <f>L11+5630374</f>
        <v>-88277</v>
      </c>
      <c r="O11" s="128"/>
    </row>
    <row r="12" spans="1:15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1">
        <v>82780220</v>
      </c>
      <c r="K12" s="51">
        <f>SUM(K13:K15)</f>
        <v>20720505</v>
      </c>
      <c r="L12" s="51">
        <f>SUM(L13:L15)</f>
        <v>87931866</v>
      </c>
      <c r="M12" s="51">
        <f>SUM(M13:M15)</f>
        <v>20169905</v>
      </c>
      <c r="O12" s="128"/>
    </row>
    <row r="13" spans="1:15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58429559</v>
      </c>
      <c r="K13" s="7">
        <f>J13-43188840</f>
        <v>15240719</v>
      </c>
      <c r="L13" s="7">
        <f>64656116+25215</f>
        <v>64681331</v>
      </c>
      <c r="M13" s="7">
        <f>L13-50995575</f>
        <v>13685756</v>
      </c>
      <c r="O13" s="128"/>
    </row>
    <row r="14" spans="1:15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5232854</v>
      </c>
      <c r="K14" s="7">
        <f>J14-3414642</f>
        <v>1818212</v>
      </c>
      <c r="L14" s="7">
        <v>3538112</v>
      </c>
      <c r="M14" s="7">
        <f>L14-2133840</f>
        <v>1404272</v>
      </c>
      <c r="O14" s="128"/>
    </row>
    <row r="15" spans="1:15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19117807</v>
      </c>
      <c r="K15" s="7">
        <f>J15-15456233</f>
        <v>3661574</v>
      </c>
      <c r="L15" s="7">
        <f>21214688+130813-1633078</f>
        <v>19712423</v>
      </c>
      <c r="M15" s="7">
        <f>L15-14632546</f>
        <v>5079877</v>
      </c>
      <c r="O15" s="128"/>
    </row>
    <row r="16" spans="1:15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1">
        <f>SUM(J17:J19)</f>
        <v>11526252</v>
      </c>
      <c r="K16" s="51">
        <f>SUM(K17:K19)</f>
        <v>2824739</v>
      </c>
      <c r="L16" s="51">
        <f>SUM(L17:L19)</f>
        <v>12116564</v>
      </c>
      <c r="M16" s="51">
        <f>SUM(M17:M19)</f>
        <v>2884084</v>
      </c>
      <c r="N16" s="127"/>
      <c r="O16" s="128"/>
    </row>
    <row r="17" spans="1:15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7007523</v>
      </c>
      <c r="K17" s="7">
        <f>J17-5286557</f>
        <v>1720966</v>
      </c>
      <c r="L17" s="7">
        <v>7426207</v>
      </c>
      <c r="M17" s="7">
        <f>L17-5541637</f>
        <v>1884570</v>
      </c>
      <c r="O17" s="128"/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2827163</v>
      </c>
      <c r="K18" s="7">
        <f>J18-2137942</f>
        <v>689221</v>
      </c>
      <c r="L18" s="7">
        <f>943545+2092439</f>
        <v>3035984</v>
      </c>
      <c r="M18" s="7">
        <f>L18-2417009</f>
        <v>618975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1691566</v>
      </c>
      <c r="K19" s="7">
        <f>J19-1277014</f>
        <v>414552</v>
      </c>
      <c r="L19" s="7">
        <v>1654373</v>
      </c>
      <c r="M19" s="7">
        <f>L19-1273834</f>
        <v>380539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5346129</v>
      </c>
      <c r="K20" s="7">
        <f>J20-3815383</f>
        <v>1530746</v>
      </c>
      <c r="L20" s="7">
        <v>6391129</v>
      </c>
      <c r="M20" s="7">
        <f>L20-4763901</f>
        <v>1627228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11369269</v>
      </c>
      <c r="K21" s="7">
        <f>J21-8348051</f>
        <v>3021218</v>
      </c>
      <c r="L21" s="7">
        <f>1633078+9815168+2627+65187</f>
        <v>11516060</v>
      </c>
      <c r="M21" s="7">
        <f>L21-8821218</f>
        <v>2694842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3639324</v>
      </c>
      <c r="K25" s="7">
        <f>J25-0</f>
        <v>3639324</v>
      </c>
      <c r="L25" s="7">
        <v>0</v>
      </c>
      <c r="M25" s="7">
        <v>0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11452744</v>
      </c>
      <c r="K26" s="7">
        <f>J26-7505512</f>
        <v>3947232</v>
      </c>
      <c r="L26" s="7">
        <v>12992028</v>
      </c>
      <c r="M26" s="7">
        <f>L26-8230512</f>
        <v>4761516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1">
        <f>SUM(J28:J32)</f>
        <v>557034</v>
      </c>
      <c r="K27" s="51">
        <f>SUM(K28:K32)</f>
        <v>361967</v>
      </c>
      <c r="L27" s="51">
        <f>SUM(L28:L32)</f>
        <v>331135</v>
      </c>
      <c r="M27" s="51">
        <f>SUM(M28:M32)</f>
        <v>76954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543160</v>
      </c>
      <c r="K29" s="7">
        <f>J29-156174-38893+13874</f>
        <v>361967</v>
      </c>
      <c r="L29" s="7">
        <f>7777+285152</f>
        <v>292929</v>
      </c>
      <c r="M29" s="7">
        <f>L29-225974</f>
        <v>66955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13874</v>
      </c>
      <c r="K32" s="7">
        <v>0</v>
      </c>
      <c r="L32" s="7">
        <v>38206</v>
      </c>
      <c r="M32" s="7">
        <f>L32-28207</f>
        <v>9999</v>
      </c>
    </row>
    <row r="33" spans="1:14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1">
        <f>SUM(J34:J37)</f>
        <v>8976998</v>
      </c>
      <c r="K33" s="51">
        <f>SUM(K34:K37)</f>
        <v>3937887</v>
      </c>
      <c r="L33" s="51">
        <f>SUM(L34:L37)</f>
        <v>6977232</v>
      </c>
      <c r="M33" s="51">
        <f>SUM(M34:M37)</f>
        <v>1268771</v>
      </c>
      <c r="N33" s="129"/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8976998</v>
      </c>
      <c r="K35" s="7">
        <f>J35-5039111</f>
        <v>3937887</v>
      </c>
      <c r="L35" s="7">
        <v>6977232</v>
      </c>
      <c r="M35" s="7">
        <f>L35-5708461</f>
        <v>1268771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1">
        <f>J7+J27+J38+J40</f>
        <v>124855365</v>
      </c>
      <c r="K42" s="51">
        <f>K7+K27+K38+K40</f>
        <v>31858067</v>
      </c>
      <c r="L42" s="51">
        <f>L7+L27+L38+L40</f>
        <v>132946474</v>
      </c>
      <c r="M42" s="51">
        <f>M7+M27+M38+M40</f>
        <v>33752693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1">
        <f>J10+J33+J39+J41</f>
        <v>133011709</v>
      </c>
      <c r="K43" s="51">
        <f>K10+K33+K39+K41</f>
        <v>38541743</v>
      </c>
      <c r="L43" s="51">
        <f>L10+L33+L39+L41</f>
        <v>132206228</v>
      </c>
      <c r="M43" s="51">
        <f>M10+M33+M39+M41</f>
        <v>33318069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1">
        <f>J42-J43</f>
        <v>-8156344</v>
      </c>
      <c r="K44" s="51">
        <f>K42-K43</f>
        <v>-6683676</v>
      </c>
      <c r="L44" s="51">
        <f>L42-L43</f>
        <v>740246</v>
      </c>
      <c r="M44" s="51">
        <f>M42-M43</f>
        <v>434624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740246</v>
      </c>
      <c r="M45" s="51">
        <f>IF(M42&gt;M43,M42-M43,0)</f>
        <v>434624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8156344</v>
      </c>
      <c r="K46" s="51">
        <f>IF(K43&gt;K42,K43-K42,0)</f>
        <v>6683676</v>
      </c>
      <c r="L46" s="51">
        <f>IF(L43&gt;L42,L43-L42,0)</f>
        <v>0</v>
      </c>
      <c r="M46" s="51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1">
        <f>J44-J47</f>
        <v>-8156344</v>
      </c>
      <c r="K48" s="51">
        <f>K44-K47</f>
        <v>-6683676</v>
      </c>
      <c r="L48" s="51">
        <f>L44-L47</f>
        <v>740246</v>
      </c>
      <c r="M48" s="51">
        <f>M44-M47</f>
        <v>434624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740246</v>
      </c>
      <c r="M49" s="51">
        <f>IF(M48&gt;0,M48,0)</f>
        <v>434624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9">
        <f>IF(J48&lt;0,-J48,0)</f>
        <v>8156344</v>
      </c>
      <c r="K50" s="59">
        <f>IF(K48&lt;0,-K48,0)</f>
        <v>6683676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99" t="s">
        <v>311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3"/>
      <c r="J52" s="53"/>
      <c r="K52" s="53"/>
      <c r="L52" s="53"/>
      <c r="M52" s="60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/>
      <c r="K56" s="6"/>
      <c r="L56" s="6"/>
      <c r="M56" s="6"/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3" t="s">
        <v>312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7:M10 J48:M50 K12:M22 K27:M27 K23:L26 K33:M33 K28:L32 K34:L41 M26 M29:M32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22">
      <selection activeCell="K26" sqref="K26"/>
    </sheetView>
  </sheetViews>
  <sheetFormatPr defaultColWidth="9.140625" defaultRowHeight="12.75"/>
  <cols>
    <col min="1" max="8" width="9.140625" style="50" customWidth="1"/>
    <col min="9" max="9" width="6.57421875" style="50" bestFit="1" customWidth="1"/>
    <col min="10" max="10" width="9.140625" style="50" customWidth="1"/>
    <col min="11" max="11" width="14.421875" style="50" bestFit="1" customWidth="1"/>
    <col min="12" max="16384" width="9.140625" style="50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278</v>
      </c>
      <c r="J4" s="65" t="s">
        <v>318</v>
      </c>
      <c r="K4" s="65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6">
        <v>2</v>
      </c>
      <c r="J5" s="67" t="s">
        <v>282</v>
      </c>
      <c r="K5" s="67" t="s">
        <v>283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-8156344</v>
      </c>
      <c r="K7" s="7">
        <v>740246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5346129</v>
      </c>
      <c r="K8" s="7">
        <v>6391129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126">
        <v>4565798</v>
      </c>
      <c r="K9" s="7">
        <v>0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964178</v>
      </c>
      <c r="K10" s="7">
        <v>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130707</v>
      </c>
      <c r="K12" s="7">
        <f>73322390-25719590</f>
        <v>47602800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2">
        <f>SUM(J7:J12)</f>
        <v>2850468</v>
      </c>
      <c r="K13" s="51">
        <f>SUM(K7:K12)</f>
        <v>54734175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>
        <f>14848449+2378213+6356682</f>
        <v>23583344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f>7987617-6032473+484778</f>
        <v>2439922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4810456</v>
      </c>
      <c r="K16" s="7">
        <f>2204050+5756936</f>
        <v>7960986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2996532</v>
      </c>
      <c r="K17" s="7">
        <f>6032473-2378213-397</f>
        <v>3653863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2">
        <f>SUM(J14:J17)</f>
        <v>7806988</v>
      </c>
      <c r="K18" s="51">
        <f>SUM(K14:K17)</f>
        <v>37638115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2">
        <f>IF(J13&gt;J18,J13-J18,0)</f>
        <v>0</v>
      </c>
      <c r="K19" s="51">
        <f>IF(K13&gt;K18,K13-K18,0)</f>
        <v>17096060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2">
        <f>IF(J18&gt;J13,J18-J13,0)</f>
        <v>4956520</v>
      </c>
      <c r="K20" s="51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>
        <f>902218+31993-741984-31328</f>
        <v>160899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2">
        <f>SUM(J22:J26)</f>
        <v>0</v>
      </c>
      <c r="K27" s="51">
        <f>SUM(K22:K26)</f>
        <v>160899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62">
        <v>15946837</v>
      </c>
      <c r="K28" s="7">
        <f>3900+106075+5061399+5056485-41008</f>
        <v>10186851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2">
        <f>SUM(J28:J30)</f>
        <v>15946837</v>
      </c>
      <c r="K31" s="51">
        <f>SUM(K28:K30)</f>
        <v>10186851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IF(J31&gt;J27,J31-J27,0)</f>
        <v>15946837</v>
      </c>
      <c r="K33" s="51">
        <f>IF(K31&gt;K27,K31-K27,0)</f>
        <v>10025952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22040422</v>
      </c>
      <c r="K36" s="7">
        <f>6356283+1574728</f>
        <v>7931011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9287645</v>
      </c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2">
        <f>SUM(J35:J37)</f>
        <v>31328067</v>
      </c>
      <c r="K38" s="51">
        <f>SUM(K35:K37)</f>
        <v>7931011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6585096</v>
      </c>
      <c r="K39" s="7">
        <f>15608680-420823-882582-1697510+1574727</f>
        <v>14182492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3342891</v>
      </c>
      <c r="K41" s="7">
        <f>420823+882582</f>
        <v>1303405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2">
        <f>SUM(J39:J43)</f>
        <v>9927987</v>
      </c>
      <c r="K44" s="51">
        <f>SUM(K39:K43)</f>
        <v>15485897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2">
        <f>IF(J38&gt;J44,J38-J44,0)</f>
        <v>21400080</v>
      </c>
      <c r="K45" s="51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2">
        <f>IF(J44&gt;J38,J44-J38,0)</f>
        <v>0</v>
      </c>
      <c r="K46" s="51">
        <f>IF(K44&gt;K38,K44-K38,0)</f>
        <v>7554886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2">
        <f>IF(J19-J20+J32-J33+J45-J46&gt;0,J19-J20+J32-J33+J45-J46,0)</f>
        <v>496723</v>
      </c>
      <c r="K47" s="51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484778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715609</v>
      </c>
      <c r="K49" s="7">
        <v>1212332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496723</v>
      </c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>
        <v>484778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3">
        <v>1212332</v>
      </c>
      <c r="K52" s="59">
        <f>K49-K51</f>
        <v>727554</v>
      </c>
    </row>
  </sheetData>
  <sheetProtection/>
  <protectedRanges>
    <protectedRange sqref="J28" name="Range1_2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K51 J39:K43 J35:K37 J10:J12 J22:K26 K7:K12 J29:J30 J7:J8 K28:K30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9 J28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278</v>
      </c>
      <c r="J4" s="65" t="s">
        <v>318</v>
      </c>
      <c r="K4" s="65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282</v>
      </c>
      <c r="K5" s="71" t="s">
        <v>283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8" width="9.140625" style="74" customWidth="1"/>
    <col min="9" max="9" width="6.57421875" style="74" bestFit="1" customWidth="1"/>
    <col min="10" max="16384" width="9.140625" style="74" customWidth="1"/>
  </cols>
  <sheetData>
    <row r="1" ht="12.75">
      <c r="A1" s="50" t="s">
        <v>340</v>
      </c>
    </row>
    <row r="2" ht="12.75">
      <c r="A2" s="50" t="s">
        <v>341</v>
      </c>
    </row>
    <row r="3" spans="1:12" ht="12.75">
      <c r="A3" s="287" t="s">
        <v>280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73"/>
    </row>
    <row r="4" spans="1:12" ht="12.75">
      <c r="A4" s="130"/>
      <c r="B4" s="72"/>
      <c r="C4" s="272" t="s">
        <v>281</v>
      </c>
      <c r="D4" s="272"/>
      <c r="E4" s="75">
        <v>40909</v>
      </c>
      <c r="F4" s="41" t="s">
        <v>249</v>
      </c>
      <c r="G4" s="273">
        <v>41274</v>
      </c>
      <c r="H4" s="274"/>
      <c r="I4" s="72"/>
      <c r="J4" s="72"/>
      <c r="K4" s="72"/>
      <c r="L4" s="76"/>
    </row>
    <row r="5" spans="1:11" ht="23.25">
      <c r="A5" s="275" t="s">
        <v>59</v>
      </c>
      <c r="B5" s="275"/>
      <c r="C5" s="275"/>
      <c r="D5" s="275"/>
      <c r="E5" s="275"/>
      <c r="F5" s="275"/>
      <c r="G5" s="275"/>
      <c r="H5" s="275"/>
      <c r="I5" s="79" t="s">
        <v>304</v>
      </c>
      <c r="J5" s="80" t="s">
        <v>150</v>
      </c>
      <c r="K5" s="80" t="s">
        <v>151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82">
        <v>2</v>
      </c>
      <c r="J6" s="81" t="s">
        <v>282</v>
      </c>
      <c r="K6" s="81" t="s">
        <v>283</v>
      </c>
    </row>
    <row r="7" spans="1:11" ht="12.75">
      <c r="A7" s="277" t="s">
        <v>284</v>
      </c>
      <c r="B7" s="278"/>
      <c r="C7" s="278"/>
      <c r="D7" s="278"/>
      <c r="E7" s="278"/>
      <c r="F7" s="278"/>
      <c r="G7" s="278"/>
      <c r="H7" s="278"/>
      <c r="I7" s="42">
        <v>1</v>
      </c>
      <c r="J7" s="43">
        <v>95637900</v>
      </c>
      <c r="K7" s="43">
        <v>69918310</v>
      </c>
    </row>
    <row r="8" spans="1:11" ht="12.75">
      <c r="A8" s="277" t="s">
        <v>285</v>
      </c>
      <c r="B8" s="278"/>
      <c r="C8" s="278"/>
      <c r="D8" s="278"/>
      <c r="E8" s="278"/>
      <c r="F8" s="278"/>
      <c r="G8" s="278"/>
      <c r="H8" s="278"/>
      <c r="I8" s="42">
        <v>2</v>
      </c>
      <c r="J8" s="44"/>
      <c r="K8" s="44"/>
    </row>
    <row r="9" spans="1:11" ht="12.75">
      <c r="A9" s="277" t="s">
        <v>286</v>
      </c>
      <c r="B9" s="278"/>
      <c r="C9" s="278"/>
      <c r="D9" s="278"/>
      <c r="E9" s="278"/>
      <c r="F9" s="278"/>
      <c r="G9" s="278"/>
      <c r="H9" s="278"/>
      <c r="I9" s="42">
        <v>3</v>
      </c>
      <c r="J9" s="44"/>
      <c r="K9" s="44"/>
    </row>
    <row r="10" spans="1:11" ht="12.75">
      <c r="A10" s="277" t="s">
        <v>287</v>
      </c>
      <c r="B10" s="278"/>
      <c r="C10" s="278"/>
      <c r="D10" s="278"/>
      <c r="E10" s="278"/>
      <c r="F10" s="278"/>
      <c r="G10" s="278"/>
      <c r="H10" s="278"/>
      <c r="I10" s="42">
        <v>4</v>
      </c>
      <c r="J10" s="44">
        <v>-67505413</v>
      </c>
      <c r="K10" s="44">
        <v>-2339367</v>
      </c>
    </row>
    <row r="11" spans="1:11" ht="12.75">
      <c r="A11" s="277" t="s">
        <v>288</v>
      </c>
      <c r="B11" s="278"/>
      <c r="C11" s="278"/>
      <c r="D11" s="278"/>
      <c r="E11" s="278"/>
      <c r="F11" s="278"/>
      <c r="G11" s="278"/>
      <c r="H11" s="278"/>
      <c r="I11" s="42">
        <v>5</v>
      </c>
      <c r="J11" s="44">
        <v>-8156344</v>
      </c>
      <c r="K11" s="44">
        <v>740246</v>
      </c>
    </row>
    <row r="12" spans="1:11" ht="12.75">
      <c r="A12" s="277" t="s">
        <v>289</v>
      </c>
      <c r="B12" s="278"/>
      <c r="C12" s="278"/>
      <c r="D12" s="278"/>
      <c r="E12" s="278"/>
      <c r="F12" s="278"/>
      <c r="G12" s="278"/>
      <c r="H12" s="278"/>
      <c r="I12" s="42">
        <v>6</v>
      </c>
      <c r="J12" s="44"/>
      <c r="K12" s="44"/>
    </row>
    <row r="13" spans="1:11" ht="12.75">
      <c r="A13" s="277" t="s">
        <v>290</v>
      </c>
      <c r="B13" s="278"/>
      <c r="C13" s="278"/>
      <c r="D13" s="278"/>
      <c r="E13" s="278"/>
      <c r="F13" s="278"/>
      <c r="G13" s="278"/>
      <c r="H13" s="278"/>
      <c r="I13" s="42">
        <v>7</v>
      </c>
      <c r="J13" s="44"/>
      <c r="K13" s="44"/>
    </row>
    <row r="14" spans="1:11" ht="12.75">
      <c r="A14" s="277" t="s">
        <v>291</v>
      </c>
      <c r="B14" s="278"/>
      <c r="C14" s="278"/>
      <c r="D14" s="278"/>
      <c r="E14" s="278"/>
      <c r="F14" s="278"/>
      <c r="G14" s="278"/>
      <c r="H14" s="278"/>
      <c r="I14" s="42">
        <v>8</v>
      </c>
      <c r="J14" s="44"/>
      <c r="K14" s="44"/>
    </row>
    <row r="15" spans="1:11" ht="12.75">
      <c r="A15" s="277" t="s">
        <v>292</v>
      </c>
      <c r="B15" s="278"/>
      <c r="C15" s="278"/>
      <c r="D15" s="278"/>
      <c r="E15" s="278"/>
      <c r="F15" s="278"/>
      <c r="G15" s="278"/>
      <c r="H15" s="278"/>
      <c r="I15" s="42">
        <v>9</v>
      </c>
      <c r="J15" s="44"/>
      <c r="K15" s="44"/>
    </row>
    <row r="16" spans="1:11" ht="12.75">
      <c r="A16" s="279" t="s">
        <v>293</v>
      </c>
      <c r="B16" s="280"/>
      <c r="C16" s="280"/>
      <c r="D16" s="280"/>
      <c r="E16" s="280"/>
      <c r="F16" s="280"/>
      <c r="G16" s="280"/>
      <c r="H16" s="280"/>
      <c r="I16" s="42">
        <v>10</v>
      </c>
      <c r="J16" s="77">
        <f>SUM(J7:J15)</f>
        <v>19976143</v>
      </c>
      <c r="K16" s="77">
        <f>SUM(K7:K15)</f>
        <v>68319189</v>
      </c>
    </row>
    <row r="17" spans="1:11" ht="12.75">
      <c r="A17" s="277" t="s">
        <v>294</v>
      </c>
      <c r="B17" s="278"/>
      <c r="C17" s="278"/>
      <c r="D17" s="278"/>
      <c r="E17" s="278"/>
      <c r="F17" s="278"/>
      <c r="G17" s="278"/>
      <c r="H17" s="278"/>
      <c r="I17" s="42">
        <v>11</v>
      </c>
      <c r="J17" s="44"/>
      <c r="K17" s="44"/>
    </row>
    <row r="18" spans="1:11" ht="12.75">
      <c r="A18" s="277" t="s">
        <v>295</v>
      </c>
      <c r="B18" s="278"/>
      <c r="C18" s="278"/>
      <c r="D18" s="278"/>
      <c r="E18" s="278"/>
      <c r="F18" s="278"/>
      <c r="G18" s="278"/>
      <c r="H18" s="278"/>
      <c r="I18" s="42">
        <v>12</v>
      </c>
      <c r="J18" s="44"/>
      <c r="K18" s="44"/>
    </row>
    <row r="19" spans="1:11" ht="12.75">
      <c r="A19" s="277" t="s">
        <v>296</v>
      </c>
      <c r="B19" s="278"/>
      <c r="C19" s="278"/>
      <c r="D19" s="278"/>
      <c r="E19" s="278"/>
      <c r="F19" s="278"/>
      <c r="G19" s="278"/>
      <c r="H19" s="278"/>
      <c r="I19" s="42">
        <v>13</v>
      </c>
      <c r="J19" s="44"/>
      <c r="K19" s="44"/>
    </row>
    <row r="20" spans="1:11" ht="12.75">
      <c r="A20" s="277" t="s">
        <v>297</v>
      </c>
      <c r="B20" s="278"/>
      <c r="C20" s="278"/>
      <c r="D20" s="278"/>
      <c r="E20" s="278"/>
      <c r="F20" s="278"/>
      <c r="G20" s="278"/>
      <c r="H20" s="278"/>
      <c r="I20" s="42">
        <v>14</v>
      </c>
      <c r="J20" s="44"/>
      <c r="K20" s="44"/>
    </row>
    <row r="21" spans="1:11" ht="12.75">
      <c r="A21" s="277" t="s">
        <v>298</v>
      </c>
      <c r="B21" s="278"/>
      <c r="C21" s="278"/>
      <c r="D21" s="278"/>
      <c r="E21" s="278"/>
      <c r="F21" s="278"/>
      <c r="G21" s="278"/>
      <c r="H21" s="278"/>
      <c r="I21" s="42">
        <v>15</v>
      </c>
      <c r="J21" s="44"/>
      <c r="K21" s="44"/>
    </row>
    <row r="22" spans="1:11" ht="12.75">
      <c r="A22" s="277" t="s">
        <v>299</v>
      </c>
      <c r="B22" s="278"/>
      <c r="C22" s="278"/>
      <c r="D22" s="278"/>
      <c r="E22" s="278"/>
      <c r="F22" s="278"/>
      <c r="G22" s="278"/>
      <c r="H22" s="278"/>
      <c r="I22" s="42">
        <v>16</v>
      </c>
      <c r="J22" s="44"/>
      <c r="K22" s="44"/>
    </row>
    <row r="23" spans="1:11" ht="12.75">
      <c r="A23" s="279" t="s">
        <v>300</v>
      </c>
      <c r="B23" s="280"/>
      <c r="C23" s="280"/>
      <c r="D23" s="280"/>
      <c r="E23" s="280"/>
      <c r="F23" s="280"/>
      <c r="G23" s="280"/>
      <c r="H23" s="280"/>
      <c r="I23" s="42">
        <v>17</v>
      </c>
      <c r="J23" s="78">
        <f>SUM(J17:J22)</f>
        <v>0</v>
      </c>
      <c r="K23" s="78">
        <f>SUM(K17:K22)</f>
        <v>0</v>
      </c>
    </row>
    <row r="24" spans="1:11" ht="12.75">
      <c r="A24" s="289"/>
      <c r="B24" s="290"/>
      <c r="C24" s="290"/>
      <c r="D24" s="290"/>
      <c r="E24" s="290"/>
      <c r="F24" s="290"/>
      <c r="G24" s="290"/>
      <c r="H24" s="290"/>
      <c r="I24" s="291"/>
      <c r="J24" s="291"/>
      <c r="K24" s="292"/>
    </row>
    <row r="25" spans="1:11" ht="12.75">
      <c r="A25" s="281" t="s">
        <v>301</v>
      </c>
      <c r="B25" s="282"/>
      <c r="C25" s="282"/>
      <c r="D25" s="282"/>
      <c r="E25" s="282"/>
      <c r="F25" s="282"/>
      <c r="G25" s="282"/>
      <c r="H25" s="282"/>
      <c r="I25" s="45">
        <v>18</v>
      </c>
      <c r="J25" s="43"/>
      <c r="K25" s="43"/>
    </row>
    <row r="26" spans="1:11" ht="17.25" customHeight="1">
      <c r="A26" s="283" t="s">
        <v>302</v>
      </c>
      <c r="B26" s="284"/>
      <c r="C26" s="284"/>
      <c r="D26" s="284"/>
      <c r="E26" s="284"/>
      <c r="F26" s="284"/>
      <c r="G26" s="284"/>
      <c r="H26" s="284"/>
      <c r="I26" s="46">
        <v>19</v>
      </c>
      <c r="J26" s="78"/>
      <c r="K26" s="78"/>
    </row>
    <row r="27" spans="1:11" ht="30" customHeight="1">
      <c r="A27" s="285" t="s">
        <v>303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</row>
  </sheetData>
  <sheetProtection/>
  <protectedRanges>
    <protectedRange sqref="E4" name="Range1_1"/>
    <protectedRange sqref="G4:H4" name="Range1"/>
  </protectedRanges>
  <mergeCells count="26">
    <mergeCell ref="A25:H25"/>
    <mergeCell ref="A26:H26"/>
    <mergeCell ref="A27:K27"/>
    <mergeCell ref="A3:K3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C4:D4"/>
    <mergeCell ref="G4:H4"/>
    <mergeCell ref="A5:H5"/>
    <mergeCell ref="A6:H6"/>
    <mergeCell ref="A7:H7"/>
    <mergeCell ref="A8:H8"/>
  </mergeCells>
  <conditionalFormatting sqref="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4" t="s">
        <v>315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2012-04-26T08:02:15Z</cp:lastPrinted>
  <dcterms:created xsi:type="dcterms:W3CDTF">2008-10-17T11:51:54Z</dcterms:created>
  <dcterms:modified xsi:type="dcterms:W3CDTF">2013-02-18T11:17:05Z</dcterms:modified>
  <cp:category/>
  <cp:version/>
  <cp:contentType/>
  <cp:contentStatus/>
</cp:coreProperties>
</file>