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calcMode="manual"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<sst xmlns="http://schemas.openxmlformats.org/spreadsheetml/2006/main" count="395" uniqueCount="342">
  <si>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</si>
  <si>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</si>
  <si>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</si>
  <si>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</si>
  <si>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</si>
  <si>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</si>
  <si>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</si>
  <si>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</si>
  <si>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</si>
  <si>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</si>
  <si>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</si>
  <si>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</si>
  <si>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</si>
  <si>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</si>
  <si>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</si>
  <si>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</si>
  <si>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</si>
  <si>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</si>
  <si>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</si>
  <si>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</si>
  <si>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</si>
  <si>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</si>
  <si>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</si>
  <si>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</si>
  <si>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</si>
  <si>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</si>
  <si>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</si>
  <si>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</si>
  <si>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</si>
  <si>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</si>
  <si>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</si>
  <si>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</si>
  <si>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</si>
  <si>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</si>
  <si>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</si>
  <si>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</si>
  <si>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</si>
  <si>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</si>
  <si>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</si>
  <si>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</si>
  <si>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</si>
  <si>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</si>
  <si>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</si>
  <si>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</si>
  <si>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</si>
  <si>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</si>
  <si>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</si>
  <si>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</si>
  <si>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</si>
  <si>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</si>
  <si>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</si>
  <si>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</si>
  <si>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</si>
  <si>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</si>
  <si>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</si>
  <si>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</si>
  <si>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</si>
  <si>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</si>
  <si>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</si>
  <si>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</si>
  <si>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</si>
  <si>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</si>
  <si>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</si>
  <si>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</si>
  <si>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</si>
  <si>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</si>
  <si>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</si>
  <si>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</si>
  <si>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</si>
  <si>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</si>
  <si>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</si>
  <si>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</si>
  <si>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</si>
  <si>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</si>
  <si>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</si>
  <si>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</si>
  <si>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</si>
  <si>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</si>
  <si>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</si>
  <si>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</si>
  <si>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</si>
  <si>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</si>
  <si>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</si>
  <si>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</si>
  <si>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</si>
  <si>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</si>
  <si>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</si>
  <si>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</si>
  <si>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</si>
  <si>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</si>
  <si>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</si>
  <si>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</si>
  <si>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</si>
  <si>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</si>
  <si>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</si>
  <si>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</si>
  <si>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</si>
  <si>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</si>
  <si>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</si>
  <si>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</si>
  <si>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</si>
  <si>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</si>
  <si>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</si>
  <si>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</si>
  <si>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</si>
  <si>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</si>
  <si>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</si>
  <si>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</si>
  <si>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</si>
  <si>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</si>
  <si>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</si>
  <si>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</si>
  <si>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</si>
  <si>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</si>
  <si>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</si>
  <si>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</si>
  <si>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</si>
  <si>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</si>
  <si>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</si>
  <si>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</si>
  <si>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</si>
  <si>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</si>
  <si>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</si>
  <si>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</si>
  <si>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</si>
  <si>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</si>
  <si>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</si>
  <si>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</si>
  <si>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</si>
  <si>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</si>
  <si>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</si>
  <si>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</si>
  <si>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</si>
  <si>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</si>
  <si>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</si>
  <si>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</si>
  <si>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</si>
  <si>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</si>
  <si>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</si>
  <si>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</si>
  <si>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</si>
  <si>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</si>
  <si>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</si>
  <si>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</si>
  <si>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</si>
  <si>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</si>
  <si>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</si>
  <si>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</si>
  <si>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</si>
  <si>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</si>
  <si>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</si>
  <si>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</si>
  <si>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</si>
  <si>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</si>
  <si>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</si>
  <si>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</si>
  <si>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</si>
  <si>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</si>
  <si>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</si>
  <si>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</si>
  <si>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</si>
  <si>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</si>
  <si>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</si>
  <si>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</si>
  <si>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</si>
  <si>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</si>
  <si>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</si>
  <si>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</si>
  <si>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</si>
  <si>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</si>
  <si>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</si>
  <si>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</si>
  <si>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</si>
  <si>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</si>
  <si>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</si>
  <si>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</si>
  <si>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</si>
  <si>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</si>
  <si>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</si>
  <si>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</si>
  <si>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</si>
  <si>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</si>
  <si>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</si>
  <si>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</si>
  <si>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</si>
  <si>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</si>
  <si>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</si>
  <si>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</si>
  <si>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</si>
  <si>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</si>
  <si>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</si>
  <si>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</si>
  <si>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</si>
  <si>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</si>
  <si>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</si>
  <si>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</si>
  <si>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</si>
  <si>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</si>
  <si>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</si>
  <si>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</si>
  <si>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</si>
  <si>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</si>
  <si>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</si>
  <si>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</si>
  <si>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</si>
  <si>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</si>
  <si>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</si>
  <si>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</si>
  <si>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</si>
  <si>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</si>
  <si>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</si>
  <si>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</si>
  <si>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</si>
  <si>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</si>
  <si>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</si>
  <si>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</si>
  <si>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</si>
  <si>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</si>
  <si>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</si>
  <si>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</si>
  <si>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</si>
  <si>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</si>
  <si>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</si>
  <si>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</si>
  <si>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</si>
  <si>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</si>
  <si>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</si>
  <si>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</si>
  <si>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</si>
  <si>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</si>
  <si>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</si>
  <si>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</si>
  <si>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</si>
  <si>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</si>
  <si>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</si>
  <si>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</si>
  <si>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</si>
  <si>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</si>
  <si>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</si>
  <si>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</si>
  <si>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</si>
  <si>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</si>
  <si>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</si>
  <si>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</si>
  <si>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</si>
  <si>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</si>
  <si>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</si>
  <si>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</si>
  <si>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</si>
  <si>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</si>
  <si>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</si>
  <si>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</si>
  <si>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</si>
  <si>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</si>
  <si>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</si>
  <si>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</si>
  <si>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</si>
  <si>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</si>
  <si>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</si>
  <si>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</si>
  <si>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</si>
  <si>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</si>
  <si>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</si>
  <si>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</si>
  <si>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</si>
  <si>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</si>
  <si>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</si>
  <si>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</si>
  <si>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</si>
  <si>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</si>
  <si>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</si>
  <si>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</si>
  <si>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</si>
  <si>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</si>
  <si>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</si>
  <si>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</si>
  <si>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</si>
  <si>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</si>
  <si>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</si>
  <si>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</si>
  <si>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</si>
  <si>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</si>
  <si>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</si>
  <si>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</si>
  <si>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</si>
  <si>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</si>
  <si>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</si>
  <si>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</si>
  <si>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</si>
  <si>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</si>
  <si>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</si>
  <si>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</si>
  <si>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</si>
  <si>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</si>
  <si>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</si>
  <si>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</si>
  <si>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</si>
  <si>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</si>
  <si>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</si>
  <si>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</si>
  <si>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</si>
  <si>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</si>
  <si>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</si>
  <si>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</si>
  <si>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</si>
  <si>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</si>
  <si>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</si>
  <si>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</si>
  <si>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</si>
  <si>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</si>
  <si>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</si>
  <si>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</si>
  <si>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</si>
  <si>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</si>
  <si>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</si>
  <si>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</si>
  <si>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</si>
  <si>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</si>
  <si>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</si>
  <si>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</si>
  <si>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</si>
  <si>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</si>
  <si>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</si>
  <si>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</si>
  <si>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</si>
  <si>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</si>
  <si>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</si>
  <si>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</si>
  <si>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</si>
  <si>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</si>
  <si>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</si>
  <si>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</si>
  <si>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</si>
  <si>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</si>
  <si>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</si>
  <si>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</si>
  <si>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</si>
  <si>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</si>
  <si>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</si>
  <si>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</si>
  <si>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u razdoblju 01.01.2011. do 30.09.2011.</t>
  </si>
  <si>
    <t>stanje na dan 30.09.2011.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</si>
</sst>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0"/>
    <numFmt numFmtId="195" formatCode="#,##0.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194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195" fontId="1" fillId="0" borderId="16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tabSelected="1"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9" t="s">
        <v>317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4" t="s">
        <v>323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2" t="s">
        <v>252</v>
      </c>
      <c r="B8" s="193"/>
      <c r="C8" s="154" t="s">
        <v>324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4"/>
      <c r="C10" s="154" t="s">
        <v>325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56" t="s">
        <v>326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2">
        <v>23000</v>
      </c>
      <c r="D14" s="183"/>
      <c r="E14" s="16"/>
      <c r="F14" s="156" t="s">
        <v>327</v>
      </c>
      <c r="G14" s="181"/>
      <c r="H14" s="18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56" t="s">
        <v>328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77" t="s">
        <v>329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77" t="s">
        <v>330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520</v>
      </c>
      <c r="D22" s="156" t="s">
        <v>327</v>
      </c>
      <c r="E22" s="167"/>
      <c r="F22" s="168"/>
      <c r="G22" s="139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56" t="s">
        <v>331</v>
      </c>
      <c r="E24" s="167"/>
      <c r="F24" s="167"/>
      <c r="G24" s="168"/>
      <c r="H24" s="51" t="s">
        <v>261</v>
      </c>
      <c r="I24" s="122">
        <v>125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69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56" t="s">
        <v>334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1" t="s">
        <v>335</v>
      </c>
      <c r="D48" s="137"/>
      <c r="E48" s="138"/>
      <c r="F48" s="16"/>
      <c r="G48" s="51" t="s">
        <v>271</v>
      </c>
      <c r="H48" s="141" t="s">
        <v>336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337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338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50" t="s">
        <v>273</v>
      </c>
      <c r="D53" s="150"/>
      <c r="E53" s="150"/>
      <c r="F53" s="150"/>
      <c r="G53" s="150"/>
      <c r="H53" s="15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307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8" width="9.140625" style="52" customWidth="1"/>
    <col min="9" max="9" width="5.57421875" style="52" bestFit="1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341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339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278</v>
      </c>
      <c r="J4" s="59" t="s">
        <v>319</v>
      </c>
      <c r="K4" s="60" t="s">
        <v>320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122245375</v>
      </c>
      <c r="K8" s="53">
        <f>K9+K16+K26+K35+K39</f>
        <v>128003439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769574</v>
      </c>
      <c r="K9" s="53">
        <f>SUM(K10:K15)</f>
        <v>758006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f>1312448-1211520</f>
        <v>100928</v>
      </c>
      <c r="K11" s="7">
        <f>1316080-1312620</f>
        <v>3460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668646</v>
      </c>
      <c r="K14" s="7">
        <v>754546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121453801</v>
      </c>
      <c r="K16" s="53">
        <f>SUM(K17:K25)</f>
        <v>127223433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30045655</v>
      </c>
      <c r="K17" s="7">
        <v>30045655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f>81464018-45308544</f>
        <v>36155474</v>
      </c>
      <c r="K18" s="7">
        <f>82030387-46791829</f>
        <v>35238558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f>46273974-29264987</f>
        <v>17008987</v>
      </c>
      <c r="K19" s="7">
        <f>52421206-31939182</f>
        <v>20482024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f>70805947-46273974-93665292+45308544+29264987+11800</f>
        <v>5452012</v>
      </c>
      <c r="K20" s="7">
        <f>78179902-52421206-98665231+46791829+31939182+11800</f>
        <v>5836276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f>32298769+13993+478911</f>
        <v>32791673</v>
      </c>
      <c r="K23" s="7">
        <f>34920145+700775</f>
        <v>35620920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22000</v>
      </c>
      <c r="K26" s="53">
        <f>SUM(K27:K34)</f>
        <v>22000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22000</v>
      </c>
      <c r="K29" s="7">
        <v>22000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1" t="s">
        <v>240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75485764</v>
      </c>
      <c r="K40" s="53">
        <f>K41+K49+K56+K64</f>
        <v>96958735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31823120</v>
      </c>
      <c r="K41" s="53">
        <f>SUM(K42:K48)</f>
        <v>42828915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11014102</v>
      </c>
      <c r="K42" s="7">
        <f>13890344+597971</f>
        <v>14488315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6718786</v>
      </c>
      <c r="K43" s="7">
        <v>7847336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13109209</v>
      </c>
      <c r="K44" s="7">
        <v>18111060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f>981023</f>
        <v>981023</v>
      </c>
      <c r="K45" s="7">
        <f>2980175-597971</f>
        <v>2382204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43329530</v>
      </c>
      <c r="K49" s="53">
        <f>SUM(K50:K55)</f>
        <v>53697271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f>44214142+3206499-7942683</f>
        <v>39477958</v>
      </c>
      <c r="K51" s="7">
        <f>50425004+5563709-7941068</f>
        <v>48047645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f>137346+53570</f>
        <v>190916</v>
      </c>
      <c r="K53" s="7">
        <f>96361+63153</f>
        <v>159514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f>44970+456981+1302547</f>
        <v>1804498</v>
      </c>
      <c r="K54" s="7">
        <f>182551+533995+1302547</f>
        <v>2019093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f>1801834+52900+1424</f>
        <v>1856158</v>
      </c>
      <c r="K55" s="7">
        <f>3470819+200</f>
        <v>3471019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214505</v>
      </c>
      <c r="K56" s="53">
        <f>SUM(K57:K63)</f>
        <v>258266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214505</v>
      </c>
      <c r="K62" s="7">
        <v>258266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118609</v>
      </c>
      <c r="K64" s="7">
        <v>174283</v>
      </c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3343614</v>
      </c>
      <c r="K65" s="7">
        <v>8554614</v>
      </c>
    </row>
    <row r="66" spans="1:11" ht="12.75">
      <c r="A66" s="201" t="s">
        <v>241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201074753</v>
      </c>
      <c r="K66" s="53">
        <f>K7+K8+K40+K65</f>
        <v>233516788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00"/>
      <c r="I69" s="3">
        <v>62</v>
      </c>
      <c r="J69" s="54">
        <f>J70+J71+J72+J78+J79+J82+J85</f>
        <v>29829627</v>
      </c>
      <c r="K69" s="54">
        <f>K70+K71+K72+K78+K79+K82+K85</f>
        <v>26529112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95637900</v>
      </c>
      <c r="K70" s="7">
        <v>95637900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-62704762</v>
      </c>
      <c r="K79" s="53">
        <f>K80-K81</f>
        <v>-67636120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62704762</v>
      </c>
      <c r="K81" s="7">
        <v>67636120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-3103511</v>
      </c>
      <c r="K82" s="53">
        <f>K83-K84</f>
        <v>-1472668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3103511</v>
      </c>
      <c r="K84" s="7">
        <v>1472668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51366964</v>
      </c>
      <c r="K90" s="53">
        <f>SUM(K91:K99)</f>
        <v>88497500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0</v>
      </c>
      <c r="K92" s="7">
        <v>11365000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51366964</v>
      </c>
      <c r="K93" s="7">
        <f>82225393-K92+6272107</f>
        <v>77132500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116247485</v>
      </c>
      <c r="K100" s="53">
        <f>SUM(K101:K112)</f>
        <v>115973824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59455514</v>
      </c>
      <c r="K102" s="7">
        <v>61364541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12449241</v>
      </c>
      <c r="K103" s="7">
        <v>1105500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1450746</v>
      </c>
      <c r="K104" s="7">
        <v>567111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f>22896162+2862435-741718</f>
        <v>25016879</v>
      </c>
      <c r="K105" s="7">
        <f>38650490+5224350-741718-6272107</f>
        <v>36861015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f>75509+718386</f>
        <v>793895</v>
      </c>
      <c r="K108" s="7">
        <f>59928+575638</f>
        <v>635566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f>318+4705875+3845502+185943+1606304+5269118+2186536-718386</f>
        <v>17081210</v>
      </c>
      <c r="K109" s="7">
        <f>3335643+4106032+60155+1991272+3079037+3435406-575638+11071-2887</f>
        <v>15440091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/>
      <c r="K112" s="7"/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3630677</v>
      </c>
      <c r="K113" s="7">
        <v>2516352</v>
      </c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201074753</v>
      </c>
      <c r="K114" s="53">
        <f>K69+K86+K90+K100+K113</f>
        <v>233516788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18" t="s">
        <v>310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32"/>
      <c r="J117" s="232"/>
      <c r="K117" s="233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71"/>
  <sheetViews>
    <sheetView tabSelected="1" view="pageBreakPreview" zoomScale="110" zoomScaleSheetLayoutView="110" zoomScalePageLayoutView="0" workbookViewId="0" topLeftCell="C46">
      <selection activeCell="I25" sqref="I25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9" t="s">
        <v>339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279</v>
      </c>
      <c r="J4" s="241" t="s">
        <v>319</v>
      </c>
      <c r="K4" s="241"/>
      <c r="L4" s="241" t="s">
        <v>320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54">
        <f>SUM(J8:J9)</f>
        <v>85356553</v>
      </c>
      <c r="K7" s="54">
        <f>SUM(K8:K9)</f>
        <v>34233924</v>
      </c>
      <c r="L7" s="54">
        <f>SUM(L8:L9)</f>
        <v>92802231</v>
      </c>
      <c r="M7" s="54">
        <f>SUM(M8:M9)</f>
        <v>38994853</v>
      </c>
    </row>
    <row r="8" spans="1:15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f>81919006+2085549</f>
        <v>84004555</v>
      </c>
      <c r="K8" s="7">
        <f>J8-50735896</f>
        <v>33268659</v>
      </c>
      <c r="L8" s="7">
        <f>88141598+3998558</f>
        <v>92140156</v>
      </c>
      <c r="M8" s="7">
        <f>L8-53404671</f>
        <v>38735485</v>
      </c>
      <c r="O8" s="130"/>
    </row>
    <row r="9" spans="1:15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1351998</v>
      </c>
      <c r="K9" s="7">
        <f>J9-386733</f>
        <v>965265</v>
      </c>
      <c r="L9" s="7">
        <v>662075</v>
      </c>
      <c r="M9" s="7">
        <f>L9-402707</f>
        <v>259368</v>
      </c>
      <c r="O9" s="130"/>
    </row>
    <row r="10" spans="1:15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85023698</v>
      </c>
      <c r="K10" s="53">
        <f>K11+K12+K16+K20+K21+K22+K25+K26</f>
        <v>32494401</v>
      </c>
      <c r="L10" s="53">
        <f>L11+L12+L16+L20+L21+L22+L25+L26</f>
        <v>89430855</v>
      </c>
      <c r="M10" s="53">
        <f>M11+M12+M16+M20+M21+M22+M25+M26</f>
        <v>35977713</v>
      </c>
      <c r="N10" s="129"/>
      <c r="O10" s="130"/>
    </row>
    <row r="11" spans="1:15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f>-(51759761-53392708)</f>
        <v>1632947</v>
      </c>
      <c r="K11" s="7">
        <f>J11-2334584</f>
        <v>-701637</v>
      </c>
      <c r="L11" s="7">
        <f>-(53111744-52112425)</f>
        <v>-999319</v>
      </c>
      <c r="M11" s="7">
        <f>L11-227284</f>
        <v>-1226603</v>
      </c>
      <c r="O11" s="130"/>
    </row>
    <row r="12" spans="1:15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53808929</v>
      </c>
      <c r="K12" s="53">
        <f>SUM(K13:K15)</f>
        <v>21579657</v>
      </c>
      <c r="L12" s="53">
        <f>SUM(L13:L15)</f>
        <v>62059715</v>
      </c>
      <c r="M12" s="53">
        <f>SUM(M13:M15)</f>
        <v>26196097</v>
      </c>
      <c r="O12" s="130"/>
    </row>
    <row r="13" spans="1:15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f>42860506+13188</f>
        <v>42873694</v>
      </c>
      <c r="K13" s="7">
        <f>J13-25677821</f>
        <v>17195873</v>
      </c>
      <c r="L13" s="7">
        <f>43155854+32986</f>
        <v>43188840</v>
      </c>
      <c r="M13" s="7">
        <f>L13-26136006</f>
        <v>17052834</v>
      </c>
      <c r="O13" s="130"/>
    </row>
    <row r="14" spans="1:15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1775957</v>
      </c>
      <c r="K14" s="7">
        <f>J14-1248948</f>
        <v>527009</v>
      </c>
      <c r="L14" s="7">
        <v>3414642</v>
      </c>
      <c r="M14" s="7">
        <f>L14-1253054</f>
        <v>2161588</v>
      </c>
      <c r="O14" s="130"/>
    </row>
    <row r="15" spans="1:15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f>9177114+87465-122277+3103511-3086535</f>
        <v>9159278</v>
      </c>
      <c r="K15" s="7">
        <f>J15-5302503</f>
        <v>3856775</v>
      </c>
      <c r="L15" s="7">
        <f>15640951+169028-353746</f>
        <v>15456233</v>
      </c>
      <c r="M15" s="7">
        <f>L15-8474558</f>
        <v>6981675</v>
      </c>
      <c r="O15" s="130"/>
    </row>
    <row r="16" spans="1:15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10866634</v>
      </c>
      <c r="K16" s="53">
        <f>SUM(K17:K19)</f>
        <v>3708216</v>
      </c>
      <c r="L16" s="53">
        <f>SUM(L17:L19)</f>
        <v>8701513</v>
      </c>
      <c r="M16" s="53">
        <f>SUM(M17:M19)</f>
        <v>2872505</v>
      </c>
      <c r="N16" s="129"/>
      <c r="O16" s="130"/>
    </row>
    <row r="17" spans="1:15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6553470</v>
      </c>
      <c r="K17" s="7">
        <f>J17-4291468</f>
        <v>2262002</v>
      </c>
      <c r="L17" s="7">
        <v>5286557</v>
      </c>
      <c r="M17" s="7">
        <f>L17-3539620</f>
        <v>1746937</v>
      </c>
      <c r="O17" s="130"/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f>864027+1854375</f>
        <v>2718402</v>
      </c>
      <c r="K18" s="7">
        <f>J18-1816397</f>
        <v>902005</v>
      </c>
      <c r="L18" s="7">
        <f>653042+1484900</f>
        <v>2137942</v>
      </c>
      <c r="M18" s="7">
        <f>L18-1433936</f>
        <v>704006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1594762</v>
      </c>
      <c r="K19" s="7">
        <f>J19-1050553</f>
        <v>544209</v>
      </c>
      <c r="L19" s="7">
        <v>1277014</v>
      </c>
      <c r="M19" s="7">
        <f>L19-855452</f>
        <v>421562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3921800</v>
      </c>
      <c r="K20" s="7">
        <f>J20-2621666</f>
        <v>1300134</v>
      </c>
      <c r="L20" s="7">
        <v>3815383</v>
      </c>
      <c r="M20" s="7">
        <f>L20-2524626</f>
        <v>1290757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f>122277+6305409+36715+43775+34591</f>
        <v>6542767</v>
      </c>
      <c r="K21" s="7">
        <f>J21-3961288</f>
        <v>2581479</v>
      </c>
      <c r="L21" s="7">
        <f>353746+7859065+39120+30836+65284</f>
        <v>8348051</v>
      </c>
      <c r="M21" s="7">
        <f>L21-5105145</f>
        <v>3242906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8250621</v>
      </c>
      <c r="K26" s="7">
        <f>J26-4224069</f>
        <v>4026552</v>
      </c>
      <c r="L26" s="7">
        <v>7505512</v>
      </c>
      <c r="M26" s="7">
        <f>L26-3903461</f>
        <v>3602051</v>
      </c>
    </row>
    <row r="27" spans="1:13" ht="12.75">
      <c r="A27" s="201" t="s">
        <v>213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1053367</v>
      </c>
      <c r="K27" s="53">
        <f>SUM(K28:K32)</f>
        <v>149557</v>
      </c>
      <c r="L27" s="53">
        <f>SUM(L28:L32)</f>
        <v>195067</v>
      </c>
      <c r="M27" s="53">
        <f>SUM(M28:M32)</f>
        <v>13336</v>
      </c>
    </row>
    <row r="28" spans="1:13" ht="12.75">
      <c r="A28" s="201" t="s">
        <v>227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 ht="12.75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f>1053367-114078</f>
        <v>939289</v>
      </c>
      <c r="K29" s="7">
        <f>J29-868156</f>
        <v>71133</v>
      </c>
      <c r="L29" s="7">
        <f>195067-38893</f>
        <v>156174</v>
      </c>
      <c r="M29" s="7">
        <f>L29-142838</f>
        <v>13336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223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114078</v>
      </c>
      <c r="K32" s="7">
        <f>J32-35654</f>
        <v>78424</v>
      </c>
      <c r="L32" s="7">
        <v>38893</v>
      </c>
      <c r="M32" s="7">
        <f>L32-38893</f>
        <v>0</v>
      </c>
    </row>
    <row r="33" spans="1:14" ht="12.75">
      <c r="A33" s="201" t="s">
        <v>214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4489733</v>
      </c>
      <c r="K33" s="53">
        <f>SUM(K34:K37)</f>
        <v>1531859</v>
      </c>
      <c r="L33" s="53">
        <f>SUM(L34:L37)</f>
        <v>5039111</v>
      </c>
      <c r="M33" s="53">
        <f>SUM(M34:M37)</f>
        <v>1772973</v>
      </c>
      <c r="N33" s="131"/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4489733</v>
      </c>
      <c r="K35" s="7">
        <f>J35-2957874</f>
        <v>1531859</v>
      </c>
      <c r="L35" s="7">
        <v>5039111</v>
      </c>
      <c r="M35" s="7">
        <f>L35-3266138</f>
        <v>1772973</v>
      </c>
    </row>
    <row r="36" spans="1:13" ht="12.75">
      <c r="A36" s="201" t="s">
        <v>224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195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196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225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226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215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86409920</v>
      </c>
      <c r="K42" s="53">
        <f>K7+K27+K38+K40</f>
        <v>34383481</v>
      </c>
      <c r="L42" s="53">
        <f>L7+L27+L38+L40</f>
        <v>92997298</v>
      </c>
      <c r="M42" s="53">
        <f>M7+M27+M38+M40</f>
        <v>39008189</v>
      </c>
    </row>
    <row r="43" spans="1:13" ht="12.75">
      <c r="A43" s="201" t="s">
        <v>216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89513431</v>
      </c>
      <c r="K43" s="53">
        <f>K10+K33+K39+K41</f>
        <v>34026260</v>
      </c>
      <c r="L43" s="53">
        <f>L10+L33+L39+L41</f>
        <v>94469966</v>
      </c>
      <c r="M43" s="53">
        <f>M10+M33+M39+M41</f>
        <v>37750686</v>
      </c>
    </row>
    <row r="44" spans="1:13" ht="12.75">
      <c r="A44" s="201" t="s">
        <v>236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-3103511</v>
      </c>
      <c r="K44" s="53">
        <f>K42-K43</f>
        <v>357221</v>
      </c>
      <c r="L44" s="53">
        <f>L42-L43</f>
        <v>-1472668</v>
      </c>
      <c r="M44" s="53">
        <f>M42-M43</f>
        <v>1257503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357221</v>
      </c>
      <c r="L45" s="53">
        <f>IF(L42&gt;L43,L42-L43,0)</f>
        <v>0</v>
      </c>
      <c r="M45" s="53">
        <f>IF(M42&gt;M43,M42-M43,0)</f>
        <v>1257503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3103511</v>
      </c>
      <c r="K46" s="53">
        <f>IF(K43&gt;K42,K43-K42,0)</f>
        <v>0</v>
      </c>
      <c r="L46" s="53">
        <f>IF(L43&gt;L42,L43-L42,0)</f>
        <v>1472668</v>
      </c>
      <c r="M46" s="53">
        <f>IF(M43&gt;M42,M43-M42,0)</f>
        <v>0</v>
      </c>
    </row>
    <row r="47" spans="1:13" ht="12.75">
      <c r="A47" s="201" t="s">
        <v>217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/>
      <c r="K47" s="7"/>
      <c r="L47" s="7"/>
      <c r="M47" s="7"/>
    </row>
    <row r="48" spans="1:13" ht="12.75">
      <c r="A48" s="201" t="s">
        <v>237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-3103511</v>
      </c>
      <c r="K48" s="53">
        <f>K44-K47</f>
        <v>357221</v>
      </c>
      <c r="L48" s="53">
        <f>L44-L47</f>
        <v>-1472668</v>
      </c>
      <c r="M48" s="53">
        <f>M44-M47</f>
        <v>1257503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357221</v>
      </c>
      <c r="L49" s="53">
        <f>IF(L48&gt;0,L48,0)</f>
        <v>0</v>
      </c>
      <c r="M49" s="53">
        <f>IF(M48&gt;0,M48,0)</f>
        <v>1257503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3103511</v>
      </c>
      <c r="K50" s="61">
        <f>IF(K48&lt;0,-K48,0)</f>
        <v>0</v>
      </c>
      <c r="L50" s="61">
        <f>IF(L48&lt;0,-L48,0)</f>
        <v>1472668</v>
      </c>
      <c r="M50" s="61">
        <f>IF(M48&lt;0,-M48,0)</f>
        <v>0</v>
      </c>
    </row>
    <row r="51" spans="1:13" ht="12.75" customHeight="1">
      <c r="A51" s="218" t="s">
        <v>312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/>
      <c r="K56" s="6"/>
      <c r="L56" s="6"/>
      <c r="M56" s="6"/>
    </row>
    <row r="57" spans="1:13" ht="12.75">
      <c r="A57" s="201" t="s">
        <v>221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1" t="s">
        <v>228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229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230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231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232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233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7:M10 J48:M50 K12:M22 K27:M27 K23:L26 K33:M33 K28:L32 K34:L41 M26 M29:M32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339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-3103511</v>
      </c>
      <c r="K7" s="7">
        <v>-1472668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3921800</v>
      </c>
      <c r="K8" s="7">
        <v>3815383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128">
        <f>15818565-2734893-20108-5355373</f>
        <v>7708191</v>
      </c>
      <c r="K9" s="7">
        <f>28877937-1240330-10376566-1105500-6272107</f>
        <v>9883434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f>1511059-1158946</f>
        <v>352113</v>
      </c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f>-252729+2734893+7908</f>
        <v>2490072</v>
      </c>
      <c r="K12" s="7"/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64">
        <f>SUM(J7:J12)</f>
        <v>11368665</v>
      </c>
      <c r="K13" s="53">
        <f>SUM(K7:K12)</f>
        <v>12226149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f>11247049-252729-34441</f>
        <v>10959879</v>
      </c>
      <c r="K15" s="7">
        <f>21892642-5332839+541326</f>
        <v>17101129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>
        <f>2068400+2458179</f>
        <v>4526579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>
        <f>5332839-1240330</f>
        <v>4092509</v>
      </c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4">
        <f>SUM(J14:J17)</f>
        <v>10959879</v>
      </c>
      <c r="K18" s="53">
        <f>SUM(K14:K17)</f>
        <v>25720217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IF(J13&gt;J18,J13-J18,0)</f>
        <v>408786</v>
      </c>
      <c r="K19" s="53">
        <f>IF(K13&gt;K18,K13-K18,0)</f>
        <v>0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0</v>
      </c>
      <c r="K20" s="53">
        <f>IF(K18&gt;K13,K18-K13,0)</f>
        <v>13494068</v>
      </c>
    </row>
    <row r="21" spans="1:11" ht="12.75">
      <c r="A21" s="218" t="s">
        <v>159</v>
      </c>
      <c r="B21" s="229"/>
      <c r="C21" s="229"/>
      <c r="D21" s="229"/>
      <c r="E21" s="229"/>
      <c r="F21" s="229"/>
      <c r="G21" s="229"/>
      <c r="H21" s="229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36000+1477532+41661+557841-158858+161273</f>
        <v>2115449</v>
      </c>
      <c r="K28" s="7">
        <f>2071346+395315+7048295-358230</f>
        <v>9156726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4">
        <f>SUM(J28:J30)</f>
        <v>2115449</v>
      </c>
      <c r="K31" s="53">
        <f>SUM(K28:K30)</f>
        <v>9156726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IF(J31&gt;J27,J31-J27,0)</f>
        <v>2115449</v>
      </c>
      <c r="K33" s="53">
        <f>IF(K31&gt;K27,K31-K27,0)</f>
        <v>9156726</v>
      </c>
    </row>
    <row r="34" spans="1:11" ht="12.75">
      <c r="A34" s="218" t="s">
        <v>160</v>
      </c>
      <c r="B34" s="229"/>
      <c r="C34" s="229"/>
      <c r="D34" s="229"/>
      <c r="E34" s="229"/>
      <c r="F34" s="229"/>
      <c r="G34" s="229"/>
      <c r="H34" s="229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3000000</v>
      </c>
      <c r="K36" s="7">
        <f>7500000+1105500+10000000</f>
        <v>18605500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f>9435373-4780000-3000000+1080000</f>
        <v>2735373</v>
      </c>
      <c r="K37" s="7">
        <f>21766132-7500000-10420000+845000+6272107</f>
        <v>10963239</v>
      </c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4">
        <f>SUM(J35:J37)</f>
        <v>5735373</v>
      </c>
      <c r="K38" s="53">
        <f>SUM(K35:K37)</f>
        <v>29568739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f>4080000-3700000+3683152-385070</f>
        <v>3678082</v>
      </c>
      <c r="K39" s="7">
        <f>11389567-9575000+5644704-729363</f>
        <v>6729908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385070</v>
      </c>
      <c r="K41" s="7">
        <v>729363</v>
      </c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4">
        <f>SUM(J39:J43)</f>
        <v>4063152</v>
      </c>
      <c r="K44" s="53">
        <f>SUM(K39:K43)</f>
        <v>7459271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IF(J38&gt;J44,J38-J44,0)</f>
        <v>1672221</v>
      </c>
      <c r="K45" s="53">
        <f>IF(K38&gt;K44,K38-K44,0)</f>
        <v>22109468</v>
      </c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34442</v>
      </c>
      <c r="K48" s="53">
        <f>IF(K20-K19+K33-K32+K46-K45&gt;0,K20-K19+K33-K32+K46-K45,0)</f>
        <v>541326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153051</v>
      </c>
      <c r="K49" s="7">
        <v>715609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f>J49-J52</f>
        <v>34442</v>
      </c>
      <c r="K51" s="7">
        <f>K49-K52</f>
        <v>541326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v>118609</v>
      </c>
      <c r="K52" s="61">
        <v>174283</v>
      </c>
    </row>
  </sheetData>
  <sheetProtection/>
  <protectedRanges>
    <protectedRange sqref="J28" name="Range1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49:K51 J39:K43 J35:K37 J10:J12 J22:K26 J14:K17 J29:J30 J7:J8 K28:K30 K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9 J2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1" t="s">
        <v>198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29"/>
      <c r="C22" s="229"/>
      <c r="D22" s="229"/>
      <c r="E22" s="229"/>
      <c r="F22" s="229"/>
      <c r="G22" s="229"/>
      <c r="H22" s="229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29"/>
      <c r="C35" s="229"/>
      <c r="D35" s="229"/>
      <c r="E35" s="229"/>
      <c r="F35" s="229"/>
      <c r="G35" s="229"/>
      <c r="H35" s="229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tabSelected="1" view="pageBreakPreview" zoomScale="125" zoomScaleSheetLayoutView="125" zoomScalePageLayoutView="0" workbookViewId="0" topLeftCell="A1">
      <selection activeCell="I25" sqref="I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57421875" style="76" bestFit="1" customWidth="1"/>
    <col min="10" max="16384" width="9.140625" style="76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5"/>
    </row>
    <row r="2" spans="1:12" ht="15.75">
      <c r="A2" s="42"/>
      <c r="B2" s="74"/>
      <c r="C2" s="288" t="s">
        <v>282</v>
      </c>
      <c r="D2" s="288"/>
      <c r="E2" s="77">
        <v>40544</v>
      </c>
      <c r="F2" s="43" t="s">
        <v>250</v>
      </c>
      <c r="G2" s="289">
        <v>40816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95637900</v>
      </c>
      <c r="K5" s="45">
        <v>95637900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/>
      <c r="K6" s="46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/>
      <c r="K7" s="46"/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-62704762</v>
      </c>
      <c r="K8" s="46">
        <f>J8+J9</f>
        <v>-67636120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-4931358</v>
      </c>
      <c r="K9" s="46">
        <v>-1472668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9">
        <f>SUM(J5:J13)</f>
        <v>28001780</v>
      </c>
      <c r="K14" s="79">
        <f>SUM(K5:K13)</f>
        <v>26529112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/>
      <c r="K23" s="45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80"/>
      <c r="K24" s="80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2011-11-03T07:15:22Z</cp:lastPrinted>
  <dcterms:created xsi:type="dcterms:W3CDTF">2008-10-17T11:51:54Z</dcterms:created>
  <dcterms:modified xsi:type="dcterms:W3CDTF">2011-11-03T07:15:55Z</dcterms:modified>
  <cp:category/>
  <cp:version/>
  <cp:contentType/>
  <cp:contentStatus/>
</cp:coreProperties>
</file>