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<sst xmlns="http://schemas.openxmlformats.org/spreadsheetml/2006/main" count="395" uniqueCount="342">
  <si>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</si>
  <si>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</si>
  <si>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</si>
  <si>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</si>
  <si>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</si>
  <si>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</si>
  <si>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</si>
  <si>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</si>
  <si>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</si>
  <si>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</si>
  <si>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</si>
  <si>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</si>
  <si>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</si>
  <si>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</si>
  <si>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</si>
  <si>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</si>
  <si>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</si>
  <si>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</si>
  <si>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</si>
  <si>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</si>
  <si>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</si>
  <si>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</si>
  <si>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</si>
  <si>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</si>
  <si>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</si>
  <si>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</si>
  <si>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</si>
  <si>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</si>
  <si>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</si>
  <si>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</si>
  <si>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</si>
  <si>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</si>
  <si>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</si>
  <si>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</si>
  <si>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</si>
  <si>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</si>
  <si>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</si>
  <si>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</si>
  <si>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</si>
  <si>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</si>
  <si>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</si>
  <si>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</si>
  <si>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</si>
  <si>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</si>
  <si>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</si>
  <si>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</si>
  <si>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</si>
  <si>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</si>
  <si>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</si>
  <si>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</si>
  <si>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</si>
  <si>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</si>
  <si>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</si>
  <si>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</si>
  <si>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</si>
  <si>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</si>
  <si>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</si>
  <si>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</si>
  <si>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</si>
  <si>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</si>
  <si>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</si>
  <si>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</si>
  <si>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</si>
  <si>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</si>
  <si>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</si>
  <si>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</si>
  <si>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</si>
  <si>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</si>
  <si>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</si>
  <si>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</si>
  <si>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</si>
  <si>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</si>
  <si>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</si>
  <si>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</si>
  <si>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</si>
  <si>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</si>
  <si>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</si>
  <si>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</si>
  <si>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</si>
  <si>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</si>
  <si>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</si>
  <si>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</si>
  <si>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</si>
  <si>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</si>
  <si>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</si>
  <si>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</si>
  <si>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</si>
  <si>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</si>
  <si>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</si>
  <si>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</si>
  <si>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</si>
  <si>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</si>
  <si>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</si>
  <si>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</si>
  <si>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</si>
  <si>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</si>
  <si>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</si>
  <si>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</si>
  <si>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</si>
  <si>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</si>
  <si>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</si>
  <si>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</si>
  <si>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</si>
  <si>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</si>
  <si>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</si>
  <si>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</si>
  <si>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</si>
  <si>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</si>
  <si>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</si>
  <si>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</si>
  <si>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</si>
  <si>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</si>
  <si>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</si>
  <si>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</si>
  <si>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</si>
  <si>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</si>
  <si>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</si>
  <si>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</si>
  <si>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</si>
  <si>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</si>
  <si>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</si>
  <si>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</si>
  <si>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</si>
  <si>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</si>
  <si>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</si>
  <si>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</si>
  <si>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</si>
  <si>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</si>
  <si>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</si>
  <si>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</si>
  <si>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</si>
  <si>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</si>
  <si>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</si>
  <si>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</si>
  <si>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</si>
  <si>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</si>
  <si>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</si>
  <si>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</si>
  <si>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</si>
  <si>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</si>
  <si>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</si>
  <si>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</si>
  <si>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</si>
  <si>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</si>
  <si>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</si>
  <si>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</si>
  <si>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</si>
  <si>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</si>
  <si>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</si>
  <si>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</si>
  <si>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</si>
  <si>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</si>
  <si>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</si>
  <si>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</si>
  <si>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</si>
  <si>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</si>
  <si>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</si>
  <si>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</si>
  <si>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</si>
  <si>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</si>
  <si>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</si>
  <si>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</si>
  <si>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</si>
  <si>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</si>
  <si>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</si>
  <si>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</si>
  <si>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</si>
  <si>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</si>
  <si>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</si>
  <si>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</si>
  <si>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</si>
  <si>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</si>
  <si>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</si>
  <si>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</si>
  <si>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</si>
  <si>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</si>
  <si>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</si>
  <si>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</si>
  <si>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</si>
  <si>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</si>
  <si>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</si>
  <si>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</si>
  <si>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</si>
  <si>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</si>
  <si>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</si>
  <si>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</si>
  <si>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</si>
  <si>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</si>
  <si>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</si>
  <si>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</si>
  <si>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</si>
  <si>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</si>
  <si>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</si>
  <si>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</si>
  <si>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</si>
  <si>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</si>
  <si>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</si>
  <si>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</si>
  <si>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</si>
  <si>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</si>
  <si>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</si>
  <si>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</si>
  <si>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</si>
  <si>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</si>
  <si>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</si>
  <si>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</si>
  <si>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</si>
  <si>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</si>
  <si>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</si>
  <si>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</si>
  <si>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</si>
  <si>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</si>
  <si>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</si>
  <si>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</si>
  <si>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</si>
  <si>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</si>
  <si>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</si>
  <si>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</si>
  <si>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</si>
  <si>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</si>
  <si>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</si>
  <si>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</si>
  <si>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</si>
  <si>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</si>
  <si>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</si>
  <si>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</si>
  <si>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</si>
  <si>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</si>
  <si>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</si>
  <si>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</si>
  <si>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</si>
  <si>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</si>
  <si>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</si>
  <si>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</si>
  <si>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</si>
  <si>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</si>
  <si>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</si>
  <si>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</si>
  <si>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</si>
  <si>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</si>
  <si>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</si>
  <si>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</si>
  <si>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</si>
  <si>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</si>
  <si>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</si>
  <si>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</si>
  <si>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</si>
  <si>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</si>
  <si>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</si>
  <si>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</si>
  <si>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</si>
  <si>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</si>
  <si>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</si>
  <si>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</si>
  <si>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</si>
  <si>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</si>
  <si>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</si>
  <si>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</si>
  <si>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</si>
  <si>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</si>
  <si>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</si>
  <si>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</si>
  <si>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</si>
  <si>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</si>
  <si>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</si>
  <si>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</si>
  <si>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</si>
  <si>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</si>
  <si>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</si>
  <si>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</si>
  <si>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</si>
  <si>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</si>
  <si>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</si>
  <si>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</si>
  <si>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</si>
  <si>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</si>
  <si>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</si>
  <si>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</si>
  <si>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</si>
  <si>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</si>
  <si>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</si>
  <si>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</si>
  <si>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</si>
  <si>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</si>
  <si>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</si>
  <si>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</si>
  <si>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</si>
  <si>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</si>
  <si>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</si>
  <si>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</si>
  <si>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</si>
  <si>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</si>
  <si>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</si>
  <si>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</si>
  <si>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</si>
  <si>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</si>
  <si>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</si>
  <si>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</si>
  <si>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</si>
  <si>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</si>
  <si>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</si>
  <si>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</si>
  <si>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</si>
  <si>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</si>
  <si>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</si>
  <si>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</si>
  <si>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</si>
  <si>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</si>
  <si>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</si>
  <si>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</si>
  <si>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</si>
  <si>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</si>
  <si>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</si>
  <si>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</si>
  <si>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</si>
  <si>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</si>
  <si>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</si>
  <si>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</si>
  <si>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</si>
  <si>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</si>
  <si>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</si>
  <si>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</si>
  <si>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</si>
  <si>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</si>
  <si>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</si>
  <si>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</si>
  <si>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</si>
  <si>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</si>
  <si>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</si>
  <si>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</si>
  <si>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</si>
  <si>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</si>
  <si>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</si>
  <si>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</si>
  <si>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ŽELJKO GRAVIĆ</t>
  </si>
  <si>
    <t>023/208-805</t>
  </si>
  <si>
    <t>023/208-803</t>
  </si>
  <si>
    <t>zeljko.gravic@maraska.hr</t>
  </si>
  <si>
    <t>VANDRI MONTABELO, PREDSJEDNIK UPRAVE</t>
  </si>
  <si>
    <t>Obveznik: MARASKA D.D.</t>
  </si>
  <si>
    <t>stanje na dan 30.06.2011.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</si>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</sst>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5.00390625" style="11" bestFit="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23000</v>
      </c>
      <c r="D14" s="148"/>
      <c r="E14" s="16"/>
      <c r="F14" s="144" t="s">
        <v>327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328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520</v>
      </c>
      <c r="D22" s="144" t="s">
        <v>327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13</v>
      </c>
      <c r="D24" s="144" t="s">
        <v>331</v>
      </c>
      <c r="E24" s="152"/>
      <c r="F24" s="152"/>
      <c r="G24" s="153"/>
      <c r="H24" s="51" t="s">
        <v>261</v>
      </c>
      <c r="I24" s="122">
        <v>126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333</v>
      </c>
      <c r="D26" s="25"/>
      <c r="E26" s="33"/>
      <c r="F26" s="24"/>
      <c r="G26" s="155" t="s">
        <v>263</v>
      </c>
      <c r="H26" s="141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0"/>
      <c r="H45" s="35"/>
      <c r="I45" s="107"/>
      <c r="J45" s="10"/>
      <c r="K45" s="10"/>
      <c r="L45" s="10"/>
    </row>
    <row r="46" spans="1:12" ht="12.75">
      <c r="A46" s="129" t="s">
        <v>268</v>
      </c>
      <c r="B46" s="173"/>
      <c r="C46" s="144" t="s">
        <v>334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3"/>
      <c r="C48" s="174" t="s">
        <v>335</v>
      </c>
      <c r="D48" s="175"/>
      <c r="E48" s="176"/>
      <c r="F48" s="16"/>
      <c r="G48" s="51" t="s">
        <v>271</v>
      </c>
      <c r="H48" s="174" t="s">
        <v>336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3"/>
      <c r="C50" s="185" t="s">
        <v>337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4" t="s">
        <v>338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273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tabSelected="1" view="pageBreakPreview" zoomScale="110" zoomScaleSheetLayoutView="110" zoomScalePageLayoutView="0" workbookViewId="0" topLeftCell="A1">
      <selection activeCell="K81" sqref="K81"/>
    </sheetView>
  </sheetViews>
  <sheetFormatPr defaultColWidth="9.140625" defaultRowHeight="12.75"/>
  <cols>
    <col min="1" max="8" width="9.140625" style="52" customWidth="1"/>
    <col min="9" max="9" width="5.57421875" style="52" bestFit="1" customWidth="1"/>
    <col min="10" max="10" width="9.851562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122822646</v>
      </c>
      <c r="K8" s="53">
        <f>K9+K16+K26+K35+K39</f>
        <v>127036696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800701</v>
      </c>
      <c r="K9" s="53">
        <f>SUM(K10:K15)</f>
        <v>760782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f>1312448-1144393</f>
        <v>168055</v>
      </c>
      <c r="K11" s="7">
        <f>1316080-1309844</f>
        <v>6236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632646</v>
      </c>
      <c r="K14" s="7">
        <v>754546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121999945</v>
      </c>
      <c r="K16" s="53">
        <f>SUM(K17:K25)</f>
        <v>126253914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30045655</v>
      </c>
      <c r="K17" s="7">
        <v>30045655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f>81464018-44939155</f>
        <v>36524863</v>
      </c>
      <c r="K18" s="7">
        <f>81932764-46419464</f>
        <v>35513300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f>46273974-28614852</f>
        <v>17659122</v>
      </c>
      <c r="K19" s="7">
        <f>49155600-31237942</f>
        <v>17917658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f>70487049-46273974-92432284+44939155+28614852+11800</f>
        <v>5346598</v>
      </c>
      <c r="K20" s="7">
        <f>74800561-49155600-97377249+46419464+31237942+11800</f>
        <v>5936918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f>31930804+13993+478912-2</f>
        <v>32423707</v>
      </c>
      <c r="K23" s="7">
        <f>2596934+34243449</f>
        <v>36840383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22000</v>
      </c>
      <c r="K26" s="53">
        <f>SUM(K27:K34)</f>
        <v>22000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22000</v>
      </c>
      <c r="K29" s="7">
        <v>22000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74011371</v>
      </c>
      <c r="K40" s="53">
        <f>K41+K49+K56+K64</f>
        <v>88756324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30204845</v>
      </c>
      <c r="K41" s="53">
        <f>SUM(K42:K48)</f>
        <v>39978393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9826871</v>
      </c>
      <c r="K42" s="7">
        <v>12923530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6700582</v>
      </c>
      <c r="K43" s="7">
        <v>7307279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12422858</v>
      </c>
      <c r="K44" s="7">
        <v>17424504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f>1254614-80</f>
        <v>1254534</v>
      </c>
      <c r="K45" s="7">
        <v>2323080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43493668</v>
      </c>
      <c r="K49" s="53">
        <f>SUM(K50:K55)</f>
        <v>48406680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f>45097823+2363642-7942683</f>
        <v>39518782</v>
      </c>
      <c r="K51" s="7">
        <f>48180133+2551222-7941067</f>
        <v>42790288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f>142366+43988</f>
        <v>186354</v>
      </c>
      <c r="K53" s="7">
        <f>136787+63152</f>
        <v>199939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f>109178+1302547+527465+52900</f>
        <v>1992090</v>
      </c>
      <c r="K54" s="7">
        <f>156913+489974+1302547</f>
        <v>1949434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f>1796442</f>
        <v>1796442</v>
      </c>
      <c r="K55" s="7">
        <v>3467019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195816</v>
      </c>
      <c r="K56" s="53">
        <f>SUM(K57:K63)</f>
        <v>202144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195816</v>
      </c>
      <c r="K62" s="7">
        <v>202144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117042</v>
      </c>
      <c r="K64" s="7">
        <v>169107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3634862</v>
      </c>
      <c r="K65" s="7">
        <v>8163058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200468879</v>
      </c>
      <c r="K66" s="53">
        <f>K7+K8+K40+K65</f>
        <v>223956078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29472406</v>
      </c>
      <c r="K69" s="54">
        <f>K70+K71+K72+K78+K79+K82+K85</f>
        <v>25271609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95637900</v>
      </c>
      <c r="K70" s="7">
        <v>95637900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-62704762</v>
      </c>
      <c r="K79" s="53">
        <f>K80-K81</f>
        <v>-67636120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62704762</v>
      </c>
      <c r="K81" s="7">
        <v>67636120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-3460732</v>
      </c>
      <c r="K82" s="53">
        <f>K83-K84</f>
        <v>-2730171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3460732</v>
      </c>
      <c r="K84" s="7">
        <v>2730171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51953231</v>
      </c>
      <c r="K90" s="53">
        <f>SUM(K91:K99)</f>
        <v>75898183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0</v>
      </c>
      <c r="K92" s="7">
        <v>11365000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51953231</v>
      </c>
      <c r="K93" s="7">
        <f>75898183-K92</f>
        <v>64533183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116814407</v>
      </c>
      <c r="K100" s="53">
        <f>SUM(K101:K112)</f>
        <v>119860766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57914996</v>
      </c>
      <c r="K102" s="7">
        <v>60037003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12462253</v>
      </c>
      <c r="K103" s="7">
        <v>1105500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1450746</v>
      </c>
      <c r="K104" s="7">
        <v>2429923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f>23520337+3753883-741718+2221</f>
        <v>26534723</v>
      </c>
      <c r="K105" s="7">
        <f>34506028+3916023-741718+22</f>
        <v>37680355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f>39626+971427</f>
        <v>1011053</v>
      </c>
      <c r="K108" s="7">
        <f>51102+670877</f>
        <v>721979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f>3598624+4742454+196182+1477808+4848507+1850691+726370</f>
        <v>17440636</v>
      </c>
      <c r="K109" s="7">
        <f>1942239+5153331+225300+1913174+5466285+3856554-670877</f>
        <v>17886006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/>
      <c r="K112" s="7"/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2228835</v>
      </c>
      <c r="K113" s="7">
        <v>2925520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200468879</v>
      </c>
      <c r="K114" s="53">
        <f>K69+K86+K90+K100+K113</f>
        <v>223956078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f>J66-J114</f>
        <v>0</v>
      </c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view="pageBreakPreview" zoomScale="110" zoomScaleSheetLayoutView="110" zoomScalePageLayoutView="0" workbookViewId="0" topLeftCell="A1">
      <selection activeCell="J44" sqref="J44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339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51122629</v>
      </c>
      <c r="K7" s="54">
        <f>SUM(K8:K9)</f>
        <v>28825278</v>
      </c>
      <c r="L7" s="54">
        <f>SUM(L8:L9)</f>
        <v>53807378</v>
      </c>
      <c r="M7" s="54">
        <f>SUM(M8:M9)</f>
        <v>31388574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f>49302433+1433463</f>
        <v>50735896</v>
      </c>
      <c r="K8" s="7">
        <f>J8-(21124934+991797-131-49947-445)</f>
        <v>28669688</v>
      </c>
      <c r="L8" s="7">
        <f>51829374+1575297</f>
        <v>53404671</v>
      </c>
      <c r="M8" s="7">
        <f>L8-(21739983+490316-133-12264-6401)</f>
        <v>31193170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f>386733</f>
        <v>386733</v>
      </c>
      <c r="K9" s="7">
        <f>J9-(131+49947+445+180620)</f>
        <v>155590</v>
      </c>
      <c r="L9" s="7">
        <v>402707</v>
      </c>
      <c r="M9" s="7">
        <f>L9-(133+12264+6401+188505)</f>
        <v>195404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52529297</v>
      </c>
      <c r="K10" s="53">
        <f>K11+K12+K16+K20+K21+K22+K25+K26</f>
        <v>29408657</v>
      </c>
      <c r="L10" s="53">
        <f>L11+L12+L16+L20+L21+L22+L25+L26</f>
        <v>53453142</v>
      </c>
      <c r="M10" s="53">
        <f>M11+M12+M16+M20+M21+M22+M25+M26</f>
        <v>30359224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f>-(31151294-33485878)</f>
        <v>2334584</v>
      </c>
      <c r="K11" s="7">
        <f>J11-2099443</f>
        <v>235141</v>
      </c>
      <c r="L11" s="7">
        <f>-(31576879-31804163)</f>
        <v>227284</v>
      </c>
      <c r="M11" s="7">
        <f>L11+(12669752-13875642)</f>
        <v>-978606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32229272</v>
      </c>
      <c r="K12" s="53">
        <f>SUM(K13:K15)</f>
        <v>18562542</v>
      </c>
      <c r="L12" s="53">
        <f>SUM(L13:L15)</f>
        <v>35863618</v>
      </c>
      <c r="M12" s="53">
        <f>SUM(M13:M15)</f>
        <v>21881884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f>25669063+8758</f>
        <v>25677821</v>
      </c>
      <c r="K13" s="7">
        <f>J13-(10653927+7391)</f>
        <v>15016503</v>
      </c>
      <c r="L13" s="7">
        <f>26113008+22998</f>
        <v>26136006</v>
      </c>
      <c r="M13" s="7">
        <f>L13-(10202570+4519)</f>
        <v>15928917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1248948</v>
      </c>
      <c r="K14" s="7">
        <f>J14-879105</f>
        <v>369843</v>
      </c>
      <c r="L14" s="7">
        <v>1253054</v>
      </c>
      <c r="M14" s="7">
        <f>L14-420029</f>
        <v>833025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f>5268209+73375-39081</f>
        <v>5302503</v>
      </c>
      <c r="K15" s="7">
        <f>J15-(2131315+10530-15538)</f>
        <v>3176196</v>
      </c>
      <c r="L15" s="7">
        <f>8622428+123303-271173</f>
        <v>8474558</v>
      </c>
      <c r="M15" s="7">
        <f>L15-(3325749+77703-48836)</f>
        <v>5119942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7158418</v>
      </c>
      <c r="K16" s="53">
        <f>SUM(K17:K19)</f>
        <v>3766376</v>
      </c>
      <c r="L16" s="53">
        <f>SUM(L17:L19)</f>
        <v>5829008</v>
      </c>
      <c r="M16" s="53">
        <f>SUM(M17:M19)</f>
        <v>2897147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4291468</v>
      </c>
      <c r="K17" s="7">
        <f>J17-2031236</f>
        <v>2260232</v>
      </c>
      <c r="L17" s="7">
        <v>3539620</v>
      </c>
      <c r="M17" s="7">
        <f>L17-1785067</f>
        <v>1754553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f>594824+1221573</f>
        <v>1816397</v>
      </c>
      <c r="K18" s="7">
        <f>J18-(284151+578847)</f>
        <v>953399</v>
      </c>
      <c r="L18" s="7">
        <f>439225+994711</f>
        <v>1433936</v>
      </c>
      <c r="M18" s="7">
        <f>L18-(216203+500318)</f>
        <v>717415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1050553</v>
      </c>
      <c r="K19" s="7">
        <f>J19-497808</f>
        <v>552745</v>
      </c>
      <c r="L19" s="7">
        <v>855452</v>
      </c>
      <c r="M19" s="7">
        <f>L19-430273</f>
        <v>425179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2621666</v>
      </c>
      <c r="K20" s="7">
        <f>J20-1308282</f>
        <v>1313384</v>
      </c>
      <c r="L20" s="7">
        <v>2524626</v>
      </c>
      <c r="M20" s="7">
        <f>L20-1283414</f>
        <v>1241212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f>39081+3860449+19542+27926+14290</f>
        <v>3961288</v>
      </c>
      <c r="K21" s="7">
        <f>J21-(15538+1738928+12000+14832-1424)</f>
        <v>2181414</v>
      </c>
      <c r="L21" s="7">
        <f>271173+4764264+6000+26208+37500</f>
        <v>5105145</v>
      </c>
      <c r="M21" s="7">
        <f>L21-(48836+2018862+6000+10934+28500+28)</f>
        <v>2991985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f>4222185+1884</f>
        <v>4224069</v>
      </c>
      <c r="K26" s="7">
        <f>J26-874269</f>
        <v>3349800</v>
      </c>
      <c r="L26" s="7">
        <v>3903461</v>
      </c>
      <c r="M26" s="7">
        <f>L26-1577859</f>
        <v>2325602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903810</v>
      </c>
      <c r="K27" s="53">
        <f>SUM(K28:K32)</f>
        <v>807092</v>
      </c>
      <c r="L27" s="53">
        <f>SUM(L28:L32)</f>
        <v>181731</v>
      </c>
      <c r="M27" s="53">
        <f>SUM(M28:M32)</f>
        <v>54733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f>755866+112290</f>
        <v>868156</v>
      </c>
      <c r="K29" s="7">
        <f>J29-(96718-23966)</f>
        <v>795404</v>
      </c>
      <c r="L29" s="7">
        <f>1206+141632</f>
        <v>142838</v>
      </c>
      <c r="M29" s="7">
        <f>L29-(106084+383)</f>
        <v>36371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35654</v>
      </c>
      <c r="K32" s="7">
        <f>J32-23966</f>
        <v>11688</v>
      </c>
      <c r="L32" s="7">
        <v>38893</v>
      </c>
      <c r="M32" s="7">
        <f>L32-20531</f>
        <v>18362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2957874</v>
      </c>
      <c r="K33" s="53">
        <f>SUM(K34:K37)</f>
        <v>1515200</v>
      </c>
      <c r="L33" s="53">
        <f>SUM(L34:L37)</f>
        <v>3266138</v>
      </c>
      <c r="M33" s="53">
        <f>SUM(M34:M37)</f>
        <v>1582845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2957874</v>
      </c>
      <c r="K35" s="7">
        <f>J35-1442674</f>
        <v>1515200</v>
      </c>
      <c r="L35" s="7">
        <v>3266138</v>
      </c>
      <c r="M35" s="7">
        <f>L35-1683293</f>
        <v>1582845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52026439</v>
      </c>
      <c r="K42" s="53">
        <f>K7+K27+K38+K40</f>
        <v>29632370</v>
      </c>
      <c r="L42" s="53">
        <f>L7+L27+L38+L40</f>
        <v>53989109</v>
      </c>
      <c r="M42" s="53">
        <f>M7+M27+M38+M40</f>
        <v>31443307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55487171</v>
      </c>
      <c r="K43" s="53">
        <f>K10+K33+K39+K41</f>
        <v>30923857</v>
      </c>
      <c r="L43" s="53">
        <f>L10+L33+L39+L41</f>
        <v>56719280</v>
      </c>
      <c r="M43" s="53">
        <f>M10+M33+M39+M41</f>
        <v>31942069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-3460732</v>
      </c>
      <c r="K44" s="53">
        <f>K42-K43</f>
        <v>-1291487</v>
      </c>
      <c r="L44" s="53">
        <f>L42-L43</f>
        <v>-2730171</v>
      </c>
      <c r="M44" s="53">
        <f>M42-M43</f>
        <v>-498762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3460732</v>
      </c>
      <c r="K46" s="53">
        <f>IF(K43&gt;K42,K43-K42,0)</f>
        <v>1291487</v>
      </c>
      <c r="L46" s="53">
        <f>IF(L43&gt;L42,L43-L42,0)</f>
        <v>2730171</v>
      </c>
      <c r="M46" s="53">
        <f>IF(M43&gt;M42,M43-M42,0)</f>
        <v>498762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-3460732</v>
      </c>
      <c r="K48" s="53">
        <f>K44-K47</f>
        <v>-1291487</v>
      </c>
      <c r="L48" s="53">
        <f>L44-L47</f>
        <v>-2730171</v>
      </c>
      <c r="M48" s="53">
        <f>M44-M47</f>
        <v>-498762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3460732</v>
      </c>
      <c r="K50" s="61">
        <f>IF(K48&lt;0,-K48,0)</f>
        <v>1291487</v>
      </c>
      <c r="L50" s="61">
        <f>IF(L48&lt;0,-L48,0)</f>
        <v>2730171</v>
      </c>
      <c r="M50" s="61">
        <f>IF(M48&lt;0,-M48,0)</f>
        <v>498762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J7:M10 J48:M50 K12:M22 K27:M27 K23:L26 K33:M33 K28:L32 K34:L41 M26 M29:M32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view="pageBreakPreview" zoomScale="110" zoomScaleSheetLayoutView="110" zoomScalePageLayoutView="0" workbookViewId="0" topLeftCell="A1">
      <selection activeCell="J13" sqref="J13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339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-3460732</v>
      </c>
      <c r="K7" s="7">
        <v>-2730171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2621666</v>
      </c>
      <c r="K8" s="7">
        <v>2524626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128">
        <f>14981723-1333051-3814854</f>
        <v>9833818</v>
      </c>
      <c r="K9" s="7">
        <f>26868363-1649498-9049027-1105500</f>
        <v>15064338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f>1978522+49531</f>
        <v>2028053</v>
      </c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f>1333051-543977+1925</f>
        <v>790999</v>
      </c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11813804</v>
      </c>
      <c r="K13" s="53">
        <f>SUM(K7:K12)</f>
        <v>14858793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f>11683604-543976+36009</f>
        <v>11175637</v>
      </c>
      <c r="K15" s="7">
        <f>16145621-4941284+546502-30000</f>
        <v>11720839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f>1101586+574471</f>
        <v>1676057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>
        <f>4941284-1649498</f>
        <v>3291786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11175637</v>
      </c>
      <c r="K18" s="53">
        <f>SUM(K14:K17)</f>
        <v>16688682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638167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1829889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1109567+41661+238943+161273-158858</f>
        <v>1392586</v>
      </c>
      <c r="K28" s="7">
        <f>1394651+297692+3668954+1537929</f>
        <v>6899226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1392586</v>
      </c>
      <c r="K31" s="53">
        <f>SUM(K28:K30)</f>
        <v>6899226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1392586</v>
      </c>
      <c r="K33" s="53">
        <f>IF(K31&gt;K27,K31-K27,0)</f>
        <v>6899226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3000000</v>
      </c>
      <c r="K36" s="7">
        <f>7500000+1105500</f>
        <v>8605500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f>3194854</f>
        <v>3194854</v>
      </c>
      <c r="K37" s="7">
        <f>15599976-7500000</f>
        <v>8099976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6194854</v>
      </c>
      <c r="K38" s="53">
        <f>SUM(K35:K37)</f>
        <v>16705476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f>2380000+3096443-48466</f>
        <v>5427977</v>
      </c>
      <c r="K39" s="7">
        <f>6550948+1971915-542710</f>
        <v>7980153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48466</v>
      </c>
      <c r="K41" s="7">
        <v>542710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5476443</v>
      </c>
      <c r="K44" s="53">
        <f>SUM(K39:K43)</f>
        <v>8522863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718411</v>
      </c>
      <c r="K45" s="53">
        <f>IF(K38&gt;K44,K38-K44,0)</f>
        <v>8182613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36008</v>
      </c>
      <c r="K48" s="53">
        <f>IF(K20-K19+K33-K32+K46-K45&gt;0,K20-K19+K33-K32+K46-K45,0)</f>
        <v>546502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153051</v>
      </c>
      <c r="K49" s="7">
        <v>715609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36008</v>
      </c>
      <c r="K51" s="7">
        <v>546502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117043</v>
      </c>
      <c r="K52" s="61">
        <f>K49+K50-K51</f>
        <v>169107</v>
      </c>
    </row>
  </sheetData>
  <sheetProtection/>
  <protectedRanges>
    <protectedRange sqref="J28" name="Range1_2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K51 J39:K43 J35:K37 J10:J12 J22:K26 J14:K17 J29:J30 J7:J8 K28:K30 K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9 J2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view="pageBreakPreview" zoomScale="125" zoomScaleSheetLayoutView="125" zoomScalePageLayoutView="0" workbookViewId="0" topLeftCell="A13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6.57421875" style="76" bestFit="1" customWidth="1"/>
    <col min="10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>
        <v>40544</v>
      </c>
      <c r="F2" s="43" t="s">
        <v>250</v>
      </c>
      <c r="G2" s="270">
        <v>40724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95637900</v>
      </c>
      <c r="K5" s="45">
        <v>95637900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-62704762</v>
      </c>
      <c r="K8" s="46">
        <f>J8+J9</f>
        <v>-67636120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-4931358</v>
      </c>
      <c r="K9" s="46">
        <v>-2730171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28001780</v>
      </c>
      <c r="K14" s="79">
        <f>SUM(K5:K13)</f>
        <v>25271609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GRAVICZ</cp:lastModifiedBy>
  <cp:lastPrinted>2011-04-29T12:42:07Z</cp:lastPrinted>
  <dcterms:created xsi:type="dcterms:W3CDTF">2008-10-17T11:51:54Z</dcterms:created>
  <dcterms:modified xsi:type="dcterms:W3CDTF">2011-07-29T14:15:53Z</dcterms:modified>
  <cp:category/>
  <cp:version/>
  <cp:contentType/>
  <cp:contentStatus/>
</cp:coreProperties>
</file>