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6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<sst xmlns="http://schemas.openxmlformats.org/spreadsheetml/2006/main" count="397" uniqueCount="344">
  <si>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</si>
  <si>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</si>
  <si>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</si>
  <si>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</si>
  <si>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</si>
  <si>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</si>
  <si>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</si>
  <si>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</si>
  <si>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</si>
  <si>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</si>
  <si>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</si>
  <si>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</si>
  <si>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</si>
  <si>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</si>
  <si>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</si>
  <si>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</si>
  <si>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</si>
  <si>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</si>
  <si>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</si>
  <si>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</si>
  <si>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</si>
  <si>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</si>
  <si>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</si>
  <si>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</si>
  <si>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</si>
  <si>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</si>
  <si>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</si>
  <si>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</si>
  <si>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</si>
  <si>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</si>
  <si>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</si>
  <si>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</si>
  <si>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</si>
  <si>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</si>
  <si>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</si>
  <si>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</si>
  <si>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</si>
  <si>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</si>
  <si>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</si>
  <si>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</si>
  <si>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</si>
  <si>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</si>
  <si>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</si>
  <si>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</si>
  <si>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</si>
  <si>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</si>
  <si>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</si>
  <si>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</si>
  <si>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</si>
  <si>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</si>
  <si>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</si>
  <si>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</si>
  <si>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</si>
  <si>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</si>
  <si>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</si>
  <si>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</si>
  <si>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</si>
  <si>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</si>
  <si>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</si>
  <si>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</si>
  <si>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</si>
  <si>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</si>
  <si>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</si>
  <si>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</si>
  <si>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</si>
  <si>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</si>
  <si>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</si>
  <si>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</si>
  <si>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</si>
  <si>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</si>
  <si>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</si>
  <si>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</si>
  <si>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</si>
  <si>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</si>
  <si>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</si>
  <si>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</si>
  <si>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</si>
  <si>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</si>
  <si>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</si>
  <si>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</si>
  <si>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</si>
  <si>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</si>
  <si>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</si>
  <si>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</si>
  <si>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</si>
  <si>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</si>
  <si>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</si>
  <si>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</si>
  <si>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</si>
  <si>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</si>
  <si>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</si>
  <si>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</si>
  <si>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</si>
  <si>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</si>
  <si>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</si>
  <si>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</si>
  <si>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</si>
  <si>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</si>
  <si>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</si>
  <si>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</si>
  <si>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</si>
  <si>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</si>
  <si>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</si>
  <si>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</si>
  <si>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</si>
  <si>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</si>
  <si>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</si>
  <si>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</si>
  <si>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</si>
  <si>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</si>
  <si>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</si>
  <si>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</si>
  <si>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</si>
  <si>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</si>
  <si>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</si>
  <si>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</si>
  <si>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</si>
  <si>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</si>
  <si>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</si>
  <si>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</si>
  <si>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</si>
  <si>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</si>
  <si>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</si>
  <si>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</si>
  <si>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</si>
  <si>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</si>
  <si>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</si>
  <si>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</si>
  <si>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</si>
  <si>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</si>
  <si>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</si>
  <si>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</si>
  <si>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</si>
  <si>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</si>
  <si>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</si>
  <si>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</si>
  <si>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</si>
  <si>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</si>
  <si>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</si>
  <si>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</si>
  <si>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</si>
  <si>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</si>
  <si>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</si>
  <si>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</si>
  <si>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</si>
  <si>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</si>
  <si>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</si>
  <si>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</si>
  <si>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</si>
  <si>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</si>
  <si>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</si>
  <si>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</si>
  <si>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</si>
  <si>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</si>
  <si>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</si>
  <si>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</si>
  <si>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</si>
  <si>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</si>
  <si>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</si>
  <si>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</si>
  <si>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</si>
  <si>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</si>
  <si>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</si>
  <si>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</si>
  <si>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</si>
  <si>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</si>
  <si>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</si>
  <si>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</si>
  <si>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</si>
  <si>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</si>
  <si>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</si>
  <si>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</si>
  <si>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</si>
  <si>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</si>
  <si>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</si>
  <si>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</si>
  <si>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</si>
  <si>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</si>
  <si>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</si>
  <si>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</si>
  <si>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</si>
  <si>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</si>
  <si>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</si>
  <si>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</si>
  <si>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</si>
  <si>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</si>
  <si>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</si>
  <si>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</si>
  <si>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</si>
  <si>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</si>
  <si>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</si>
  <si>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</si>
  <si>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</si>
  <si>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</si>
  <si>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</si>
  <si>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</si>
  <si>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</si>
  <si>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</si>
  <si>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</si>
  <si>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</si>
  <si>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</si>
  <si>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</si>
  <si>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</si>
  <si>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</si>
  <si>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</si>
  <si>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</si>
  <si>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</si>
  <si>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</si>
  <si>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</si>
  <si>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</si>
  <si>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</si>
  <si>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</si>
  <si>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</si>
  <si>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</si>
  <si>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</si>
  <si>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</si>
  <si>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</si>
  <si>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</si>
  <si>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</si>
  <si>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</si>
  <si>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</si>
  <si>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</si>
  <si>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</si>
  <si>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</si>
  <si>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</si>
  <si>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</si>
  <si>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</si>
  <si>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</si>
  <si>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</si>
  <si>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</si>
  <si>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</si>
  <si>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</si>
  <si>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</si>
  <si>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</si>
  <si>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</si>
  <si>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</si>
  <si>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</si>
  <si>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</si>
  <si>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</si>
  <si>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</si>
  <si>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</si>
  <si>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</si>
  <si>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</si>
  <si>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</si>
  <si>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</si>
  <si>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</si>
  <si>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</si>
  <si>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</si>
  <si>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</si>
  <si>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</si>
  <si>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</si>
  <si>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</si>
  <si>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</si>
  <si>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</si>
  <si>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</si>
  <si>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</si>
  <si>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</si>
  <si>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</si>
  <si>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</si>
  <si>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</si>
  <si>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</si>
  <si>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</si>
  <si>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</si>
  <si>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</si>
  <si>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</si>
  <si>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</si>
  <si>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</si>
  <si>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</si>
  <si>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</si>
  <si>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</si>
  <si>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</si>
  <si>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</si>
  <si>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</si>
  <si>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</si>
  <si>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</si>
  <si>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</si>
  <si>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</si>
  <si>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</si>
  <si>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</si>
  <si>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</si>
  <si>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</si>
  <si>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</si>
  <si>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</si>
  <si>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</si>
  <si>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</si>
  <si>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</si>
  <si>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</si>
  <si>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</si>
  <si>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</si>
  <si>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</si>
  <si>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</si>
  <si>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</si>
  <si>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</si>
  <si>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</si>
  <si>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</si>
  <si>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</si>
  <si>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</si>
  <si>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</si>
  <si>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</si>
  <si>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</si>
  <si>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</si>
  <si>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</si>
  <si>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</si>
  <si>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</si>
  <si>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</si>
  <si>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</si>
  <si>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</si>
  <si>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</si>
  <si>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</si>
  <si>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</si>
  <si>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</si>
  <si>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</si>
  <si>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</si>
  <si>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</si>
  <si>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</si>
  <si>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</si>
  <si>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</si>
  <si>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</si>
  <si>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</si>
  <si>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</si>
  <si>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</si>
  <si>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</si>
  <si>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</si>
  <si>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03299015</t>
  </si>
  <si>
    <t>080049595</t>
  </si>
  <si>
    <t>67215092378</t>
  </si>
  <si>
    <t>MAGMA d.d.</t>
  </si>
  <si>
    <t>ZAGREB</t>
  </si>
  <si>
    <t>BAŠTIJANOVA 52A</t>
  </si>
  <si>
    <t>magma@magma.hr</t>
  </si>
  <si>
    <t>www.magma.hr</t>
  </si>
  <si>
    <t>GRAD ZAGREB</t>
  </si>
  <si>
    <t>NE</t>
  </si>
  <si>
    <t>GORANKO FIŽULIĆ</t>
  </si>
  <si>
    <t>Obveznik:  MAGMA d.d.</t>
  </si>
  <si>
    <t>4771</t>
  </si>
  <si>
    <t>Ranko Milić</t>
  </si>
  <si>
    <t>POSLOVNO IZVJEŠTAVANJE J.D.O.O.</t>
  </si>
  <si>
    <t>04523059</t>
  </si>
  <si>
    <t>01.01.2018.</t>
  </si>
  <si>
    <t>magma@magma.hr / ranko.mili@yahoo.com</t>
  </si>
  <si>
    <t>31.12.2018.</t>
  </si>
  <si>
    <t>stanje na dan 31.12.2018.</t>
  </si>
  <si>
    <t>u razdoblju 01.01.2018. do 31.12.2018.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</si>
</sst>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ma@magma.hr" TargetMode="External" /><Relationship Id="rId2" Type="http://schemas.openxmlformats.org/officeDocument/2006/relationships/hyperlink" Target="http://www.magma.hr/" TargetMode="External" /><Relationship Id="rId3" Type="http://schemas.openxmlformats.org/officeDocument/2006/relationships/hyperlink" Target="mailto:magma@magm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F7" sqref="F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248</v>
      </c>
      <c r="B1" s="168"/>
      <c r="C1" s="16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339</v>
      </c>
      <c r="F2" s="12"/>
      <c r="G2" s="13" t="s">
        <v>250</v>
      </c>
      <c r="H2" s="120" t="s">
        <v>341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10000</v>
      </c>
      <c r="D14" s="147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329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330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43" t="s">
        <v>327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43" t="s">
        <v>331</v>
      </c>
      <c r="E24" s="151"/>
      <c r="F24" s="151"/>
      <c r="G24" s="152"/>
      <c r="H24" s="51" t="s">
        <v>261</v>
      </c>
      <c r="I24" s="122">
        <v>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332</v>
      </c>
      <c r="D26" s="25"/>
      <c r="E26" s="33"/>
      <c r="F26" s="24"/>
      <c r="G26" s="154" t="s">
        <v>263</v>
      </c>
      <c r="H26" s="140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9"/>
      <c r="D37" s="170"/>
      <c r="E37" s="16"/>
      <c r="F37" s="169"/>
      <c r="G37" s="170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8"/>
      <c r="C44" s="131" t="s">
        <v>338</v>
      </c>
      <c r="D44" s="132"/>
      <c r="E44" s="26"/>
      <c r="F44" s="143" t="s">
        <v>337</v>
      </c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9"/>
      <c r="D45" s="170"/>
      <c r="E45" s="16"/>
      <c r="F45" s="169"/>
      <c r="G45" s="171"/>
      <c r="H45" s="35"/>
      <c r="I45" s="107"/>
      <c r="J45" s="10"/>
      <c r="K45" s="10"/>
      <c r="L45" s="10"/>
    </row>
    <row r="46" spans="1:12" ht="12.75">
      <c r="A46" s="128" t="s">
        <v>268</v>
      </c>
      <c r="B46" s="178"/>
      <c r="C46" s="143" t="s">
        <v>336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8"/>
      <c r="C48" s="179"/>
      <c r="D48" s="180"/>
      <c r="E48" s="181"/>
      <c r="F48" s="16"/>
      <c r="G48" s="51" t="s">
        <v>271</v>
      </c>
      <c r="H48" s="179"/>
      <c r="I48" s="18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8"/>
      <c r="C50" s="184" t="s">
        <v>340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9" t="s">
        <v>333</v>
      </c>
      <c r="D52" s="180"/>
      <c r="E52" s="180"/>
      <c r="F52" s="180"/>
      <c r="G52" s="180"/>
      <c r="H52" s="180"/>
      <c r="I52" s="145"/>
      <c r="J52" s="10"/>
      <c r="K52" s="10"/>
      <c r="L52" s="10"/>
    </row>
    <row r="53" spans="1:12" ht="12.75">
      <c r="A53" s="108"/>
      <c r="B53" s="20"/>
      <c r="C53" s="174" t="s">
        <v>273</v>
      </c>
      <c r="D53" s="174"/>
      <c r="E53" s="174"/>
      <c r="F53" s="174"/>
      <c r="G53" s="174"/>
      <c r="H53" s="17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5" t="s">
        <v>277</v>
      </c>
      <c r="H62" s="176"/>
      <c r="I62" s="17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gma@magma.hr"/>
    <hyperlink ref="C20" r:id="rId2" display="www.magma.hr"/>
    <hyperlink ref="C50" r:id="rId3" display="magma@magm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1">
      <selection activeCell="A70" sqref="A70:H70"/>
    </sheetView>
  </sheetViews>
  <sheetFormatPr defaultColWidth="9.140625" defaultRowHeight="12.75"/>
  <cols>
    <col min="1" max="9" width="9.140625" style="52" customWidth="1"/>
    <col min="10" max="11" width="10.421875" style="52" bestFit="1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334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82628</v>
      </c>
      <c r="K8" s="53">
        <f>K9+K16+K26+K35+K39</f>
        <v>82628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0</v>
      </c>
      <c r="K16" s="53">
        <f>SUM(K17:K25)</f>
        <v>0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/>
      <c r="K17" s="7"/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/>
      <c r="K18" s="7"/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/>
      <c r="K19" s="7"/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/>
      <c r="K20" s="7"/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/>
      <c r="K23" s="7"/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82628</v>
      </c>
      <c r="K26" s="53">
        <f>SUM(K27:K34)</f>
        <v>82628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20000</v>
      </c>
      <c r="K27" s="7">
        <v>20000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62628</v>
      </c>
      <c r="K31" s="7">
        <v>62628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45980903</v>
      </c>
      <c r="K40" s="53">
        <f>K41+K49+K56+K64</f>
        <v>22329370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+J42+J43+J44+J45+J46+J47+J48</f>
        <v>45050760</v>
      </c>
      <c r="K41" s="53">
        <f>+K42+K43+K44+K45+K46+K47+K48</f>
        <v>21565961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/>
      <c r="K42" s="7"/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45050760</v>
      </c>
      <c r="K47" s="7">
        <v>21565961</v>
      </c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930143</v>
      </c>
      <c r="K49" s="53">
        <f>SUM(K50:K55)</f>
        <v>763409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930143</v>
      </c>
      <c r="K50" s="7">
        <v>763409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/>
      <c r="K51" s="7"/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/>
      <c r="K53" s="7"/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/>
      <c r="K54" s="7"/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/>
      <c r="K55" s="7"/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0</v>
      </c>
      <c r="K56" s="53">
        <f>SUM(K57:K63)</f>
        <v>0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/>
      <c r="K62" s="7"/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0</v>
      </c>
      <c r="K64" s="7">
        <v>0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40509</v>
      </c>
      <c r="K65" s="7">
        <v>40509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46104040</v>
      </c>
      <c r="K66" s="53">
        <f>K7+K8+K40+K65</f>
        <v>22452507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-86158521</v>
      </c>
      <c r="K69" s="54">
        <f>K70+K71+K72+K78+K79+K82+K85</f>
        <v>-86512505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299922880</v>
      </c>
      <c r="K70" s="7">
        <f>67748710+176247120+55927050</f>
        <v>299922880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205749617</v>
      </c>
      <c r="K71" s="7">
        <v>205749617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13189877</v>
      </c>
      <c r="K74" s="7">
        <v>13189877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13189877</v>
      </c>
      <c r="K75" s="7">
        <v>13189877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-592507740</v>
      </c>
      <c r="K79" s="53">
        <f>K80-K81</f>
        <v>-591831018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592507740</v>
      </c>
      <c r="K81" s="7">
        <f>592507740-676722</f>
        <v>591831018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676722</v>
      </c>
      <c r="K82" s="53">
        <f>K83-K84</f>
        <v>-353984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676722</v>
      </c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>
        <v>353984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64438010</v>
      </c>
      <c r="K90" s="53">
        <f>SUM(K91:K99)</f>
        <v>22136730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42301280</v>
      </c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22136730</v>
      </c>
      <c r="K98" s="7">
        <v>22136730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67790455</v>
      </c>
      <c r="K100" s="53">
        <f>SUM(K101:K112)</f>
        <v>86828282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18065</v>
      </c>
      <c r="K102" s="7">
        <v>15995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/>
      <c r="K103" s="7">
        <v>42301280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13706</v>
      </c>
      <c r="K104" s="7">
        <v>36032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2084963</v>
      </c>
      <c r="K105" s="7">
        <v>2390125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>
        <f>55927050-55927050</f>
        <v>0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13957995</v>
      </c>
      <c r="K108" s="7">
        <v>13914385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6664939</v>
      </c>
      <c r="K109" s="7">
        <f>28736592-22136730</f>
        <v>6599862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>
        <v>45050760</v>
      </c>
      <c r="K111" s="7">
        <v>21565961</v>
      </c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27</v>
      </c>
      <c r="K112" s="7">
        <f>4614+28</f>
        <v>4642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34096</v>
      </c>
      <c r="K113" s="7">
        <v>0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46104040</v>
      </c>
      <c r="K114" s="53">
        <f>K69+K86+K90+K100+K113</f>
        <v>22452507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>
        <f>+K66-K114</f>
        <v>0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workbookViewId="0" topLeftCell="A1">
      <selection activeCell="L21" sqref="L21"/>
    </sheetView>
  </sheetViews>
  <sheetFormatPr defaultColWidth="9.140625" defaultRowHeight="12.75"/>
  <cols>
    <col min="1" max="9" width="9.140625" style="52" customWidth="1"/>
    <col min="10" max="12" width="10.421875" style="52" bestFit="1" customWidth="1"/>
    <col min="13" max="13" width="10.1406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334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3654325</v>
      </c>
      <c r="K7" s="54">
        <f>SUM(K8:K9)</f>
        <v>2605549</v>
      </c>
      <c r="L7" s="54">
        <f>SUM(L8:L9)</f>
        <v>16638120</v>
      </c>
      <c r="M7" s="54">
        <f>SUM(M8:M9)</f>
        <v>16533886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1099024</v>
      </c>
      <c r="K8" s="7">
        <v>115681</v>
      </c>
      <c r="L8" s="7">
        <v>88056</v>
      </c>
      <c r="M8" s="7">
        <f>+L8-74273</f>
        <v>13783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2555301</v>
      </c>
      <c r="K9" s="7">
        <v>2489868</v>
      </c>
      <c r="L9" s="7">
        <v>16550064</v>
      </c>
      <c r="M9" s="7">
        <f>+L9-29961</f>
        <v>16520103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2825761</v>
      </c>
      <c r="K10" s="53">
        <f>K11+K12+K16+K20+K21+K22+K25+K26</f>
        <v>2611575</v>
      </c>
      <c r="L10" s="53">
        <f>L11+L12+L16+L20+L21+L22+L25+L26</f>
        <v>16992103.67</v>
      </c>
      <c r="M10" s="53">
        <f>M11+M12+M16+M20+M21+M22+M25+M26</f>
        <v>16734910.670000002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0</v>
      </c>
      <c r="K12" s="53">
        <f>SUM(K13:K15)</f>
        <v>0</v>
      </c>
      <c r="L12" s="53">
        <f>SUM(L13:L15)</f>
        <v>0</v>
      </c>
      <c r="M12" s="53">
        <f>SUM(M13:M15)</f>
        <v>0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/>
      <c r="K13" s="7"/>
      <c r="L13" s="7"/>
      <c r="M13" s="7"/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/>
      <c r="K15" s="7"/>
      <c r="L15" s="7"/>
      <c r="M15" s="7"/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18587</v>
      </c>
      <c r="K16" s="53">
        <f>SUM(K17:K19)</f>
        <v>1309</v>
      </c>
      <c r="L16" s="53">
        <f>SUM(L17:L19)</f>
        <v>10079</v>
      </c>
      <c r="M16" s="53">
        <f>SUM(M17:M19)</f>
        <v>0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12687</v>
      </c>
      <c r="K17" s="7">
        <v>893</v>
      </c>
      <c r="L17" s="7">
        <v>6880</v>
      </c>
      <c r="M17" s="7">
        <f>+L17-6880</f>
        <v>0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3172</v>
      </c>
      <c r="K18" s="7">
        <v>224</v>
      </c>
      <c r="L18" s="7">
        <f>1290+430</f>
        <v>1720</v>
      </c>
      <c r="M18" s="7">
        <f>+L18-1720</f>
        <v>0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2728</v>
      </c>
      <c r="K19" s="7">
        <v>192</v>
      </c>
      <c r="L19" s="7">
        <v>1479</v>
      </c>
      <c r="M19" s="7">
        <f>+L19-1479</f>
        <v>0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/>
      <c r="K20" s="7"/>
      <c r="L20" s="7"/>
      <c r="M20" s="7">
        <f>+L20-0</f>
        <v>0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2807174</v>
      </c>
      <c r="K21" s="7">
        <v>2610266</v>
      </c>
      <c r="L21" s="7">
        <f>248376.54+177365.61+35669.6+16520612.92</f>
        <v>16982024.67</v>
      </c>
      <c r="M21" s="7">
        <f>+L21-247114</f>
        <v>16734910.670000002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0</v>
      </c>
      <c r="K27" s="53">
        <f>SUM(K28:K32)</f>
        <v>0</v>
      </c>
      <c r="L27" s="53">
        <f>SUM(L28:L32)</f>
        <v>0</v>
      </c>
      <c r="M27" s="53">
        <f>SUM(M28:M32)</f>
        <v>0</v>
      </c>
    </row>
    <row r="28" spans="1:13" ht="21" customHeight="1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29.25" customHeight="1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/>
      <c r="K29" s="7"/>
      <c r="L29" s="7"/>
      <c r="M29" s="7"/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0</v>
      </c>
      <c r="K33" s="53">
        <f>SUM(K34:K37)</f>
        <v>0</v>
      </c>
      <c r="L33" s="53"/>
      <c r="M33" s="53"/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/>
      <c r="K35" s="7"/>
      <c r="L35" s="7"/>
      <c r="M35" s="7"/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3654325</v>
      </c>
      <c r="K42" s="53">
        <f>K7+K27+K38+K40</f>
        <v>2605549</v>
      </c>
      <c r="L42" s="53">
        <f>L7+L27+L38+L40</f>
        <v>16638120</v>
      </c>
      <c r="M42" s="53">
        <f>M7+M27+M38+M40</f>
        <v>16533886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2825761</v>
      </c>
      <c r="K43" s="53">
        <f>K10+K33+K39+K41</f>
        <v>2611575</v>
      </c>
      <c r="L43" s="53">
        <f>L10+L33+L39+L41</f>
        <v>16992103.67</v>
      </c>
      <c r="M43" s="53">
        <f>M10+M33+M39+M41</f>
        <v>16734910.670000002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828564</v>
      </c>
      <c r="K44" s="53">
        <f>K42-K43</f>
        <v>-6026</v>
      </c>
      <c r="L44" s="53">
        <f>L42-L43</f>
        <v>-353983.6700000018</v>
      </c>
      <c r="M44" s="53">
        <f>M42-M43</f>
        <v>-201024.6700000018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828564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6026</v>
      </c>
      <c r="L46" s="53">
        <f>IF(L43&gt;L42,L43-L42,0)</f>
        <v>353983.6700000018</v>
      </c>
      <c r="M46" s="53">
        <f>IF(M43&gt;M42,M43-M42,0)</f>
        <v>201024.6700000018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151842</v>
      </c>
      <c r="K47" s="7">
        <v>151842</v>
      </c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676722</v>
      </c>
      <c r="K48" s="53">
        <f>K44-K47</f>
        <v>-157868</v>
      </c>
      <c r="L48" s="53">
        <f>L44-L47</f>
        <v>-353983.6700000018</v>
      </c>
      <c r="M48" s="53">
        <f>M44-M47</f>
        <v>-201024.6700000018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676722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157868</v>
      </c>
      <c r="L50" s="61">
        <f>IF(L48&lt;0,-L48,0)</f>
        <v>353983.6700000018</v>
      </c>
      <c r="M50" s="61">
        <f>IF(M48&lt;0,-M48,0)</f>
        <v>201024.6700000018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8" sqref="K18"/>
    </sheetView>
  </sheetViews>
  <sheetFormatPr defaultColWidth="9.140625" defaultRowHeight="12.75"/>
  <cols>
    <col min="1" max="9" width="9.140625" style="52" customWidth="1"/>
    <col min="10" max="10" width="10.421875" style="52" bestFit="1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334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3.2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7">
        <v>676722</v>
      </c>
      <c r="K7" s="7">
        <v>-353984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7"/>
      <c r="K8" s="7"/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7"/>
      <c r="K9" s="7">
        <v>19037827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7"/>
      <c r="K10" s="7">
        <v>166734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7">
        <v>3440403</v>
      </c>
      <c r="K11" s="7">
        <v>23484799</v>
      </c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7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4117125</v>
      </c>
      <c r="K13" s="53">
        <f>SUM(K7:K12)</f>
        <v>42335376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3224798</v>
      </c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489416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7">
        <v>409156</v>
      </c>
      <c r="K17" s="7">
        <f>34096+42301280</f>
        <v>42335376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4123370</v>
      </c>
      <c r="K18" s="53">
        <f>SUM(K14:K17)</f>
        <v>42335376</v>
      </c>
    </row>
    <row r="19" spans="1:11" ht="26.25" customHeight="1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23.25" customHeight="1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6245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/>
      <c r="K28" s="7"/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/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7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64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/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0</v>
      </c>
      <c r="K44" s="53">
        <f>SUM(K39:K43)</f>
        <v>0</v>
      </c>
    </row>
    <row r="45" spans="1:11" ht="20.25" customHeight="1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33.75" customHeight="1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53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53">
        <f>IF(J20-J19+J33-J32+J46-J45&gt;0,J20-J19+J33-J32+J46-J45,0)</f>
        <v>6245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7">
        <v>6245</v>
      </c>
      <c r="K49" s="7">
        <v>0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7"/>
      <c r="K50" s="7">
        <v>0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7">
        <v>6245</v>
      </c>
      <c r="K51" s="7"/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1">
        <f>J49+J50-J51</f>
        <v>0</v>
      </c>
      <c r="K52" s="61">
        <f>K49+K50-K51</f>
        <v>0</v>
      </c>
    </row>
  </sheetData>
  <sheetProtection/>
  <mergeCells count="52">
    <mergeCell ref="A7:H7"/>
    <mergeCell ref="A8:H8"/>
    <mergeCell ref="A3:K3"/>
    <mergeCell ref="A1:K1"/>
    <mergeCell ref="A2:K2"/>
    <mergeCell ref="A4:H4"/>
    <mergeCell ref="A5:H5"/>
    <mergeCell ref="A6:K6"/>
    <mergeCell ref="A19:H19"/>
    <mergeCell ref="A20:H20"/>
    <mergeCell ref="A13:H13"/>
    <mergeCell ref="A14:H14"/>
    <mergeCell ref="A15:H15"/>
    <mergeCell ref="A16:H16"/>
    <mergeCell ref="A9:H9"/>
    <mergeCell ref="A10:H10"/>
    <mergeCell ref="A17:H17"/>
    <mergeCell ref="A18:H18"/>
    <mergeCell ref="A11:H11"/>
    <mergeCell ref="A12:H12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2" sqref="A22:K2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7:H7"/>
    <mergeCell ref="A8:H8"/>
    <mergeCell ref="A3:K3"/>
    <mergeCell ref="A1:K1"/>
    <mergeCell ref="A2:K2"/>
    <mergeCell ref="A4:H4"/>
    <mergeCell ref="A5:H5"/>
    <mergeCell ref="A6:K6"/>
    <mergeCell ref="A19:H19"/>
    <mergeCell ref="A20:H20"/>
    <mergeCell ref="A13:H13"/>
    <mergeCell ref="A14:H14"/>
    <mergeCell ref="A15:H15"/>
    <mergeCell ref="A16:H16"/>
    <mergeCell ref="A9:H9"/>
    <mergeCell ref="A10:H10"/>
    <mergeCell ref="A17:H17"/>
    <mergeCell ref="A18:H18"/>
    <mergeCell ref="A11:H11"/>
    <mergeCell ref="A12:H12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0" sqref="J10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1" width="10.14062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68" t="s">
        <v>282</v>
      </c>
      <c r="D2" s="268"/>
      <c r="E2" s="77">
        <v>43101</v>
      </c>
      <c r="F2" s="43" t="s">
        <v>250</v>
      </c>
      <c r="G2" s="269">
        <v>43465</v>
      </c>
      <c r="H2" s="270"/>
      <c r="I2" s="74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299922880</v>
      </c>
      <c r="K5" s="45">
        <v>299922880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205749617</v>
      </c>
      <c r="K6" s="46">
        <v>205749617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-592507740</v>
      </c>
      <c r="K8" s="46">
        <v>-591831018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676722</v>
      </c>
      <c r="K9" s="46">
        <v>-353984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-86158521</v>
      </c>
      <c r="K14" s="79">
        <f>SUM(K5:K13)</f>
        <v>-86512505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Tamara</cp:lastModifiedBy>
  <cp:lastPrinted>2016-05-02T10:51:37Z</cp:lastPrinted>
  <dcterms:created xsi:type="dcterms:W3CDTF">2008-10-17T11:51:54Z</dcterms:created>
  <dcterms:modified xsi:type="dcterms:W3CDTF">2019-01-30T19:44:51Z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