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<sst xmlns="http://schemas.openxmlformats.org/spreadsheetml/2006/main" count="400" uniqueCount="348">
  <si>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</si>
  <si>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</si>
  <si>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</si>
  <si>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</si>
  <si>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</si>
  <si>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</si>
  <si>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</si>
  <si>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</si>
  <si>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</si>
  <si>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</si>
  <si>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</si>
  <si>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</si>
  <si>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</si>
  <si>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</si>
  <si>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</si>
  <si>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</si>
  <si>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</si>
  <si>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</si>
  <si>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</si>
  <si>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</si>
  <si>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</si>
  <si>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</si>
  <si>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</si>
  <si>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</si>
  <si>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</si>
  <si>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</si>
  <si>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</si>
  <si>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</si>
  <si>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</si>
  <si>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</si>
  <si>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</si>
  <si>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</si>
  <si>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</si>
  <si>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</si>
  <si>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</si>
  <si>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</si>
  <si>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</si>
  <si>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</si>
  <si>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</si>
  <si>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</si>
  <si>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</si>
  <si>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</si>
  <si>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</si>
  <si>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</si>
  <si>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</si>
  <si>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</si>
  <si>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</si>
  <si>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</si>
  <si>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</si>
  <si>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</si>
  <si>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</si>
  <si>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</si>
  <si>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</si>
  <si>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</si>
  <si>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</si>
  <si>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</si>
  <si>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</si>
  <si>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</si>
  <si>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</si>
  <si>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</si>
  <si>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</si>
  <si>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</si>
  <si>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</si>
  <si>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</si>
  <si>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</si>
  <si>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</si>
  <si>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</si>
  <si>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</si>
  <si>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</si>
  <si>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</si>
  <si>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</si>
  <si>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</si>
  <si>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</si>
  <si>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</si>
  <si>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</si>
  <si>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</si>
  <si>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</si>
  <si>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</si>
  <si>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</si>
  <si>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</si>
  <si>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</si>
  <si>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</si>
  <si>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</si>
  <si>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</si>
  <si>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</si>
  <si>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</si>
  <si>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</si>
  <si>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</si>
  <si>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</si>
  <si>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</si>
  <si>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</si>
  <si>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</si>
  <si>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</si>
  <si>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</si>
  <si>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</si>
  <si>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</si>
  <si>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</si>
  <si>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</si>
  <si>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</si>
  <si>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</si>
  <si>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</si>
  <si>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</si>
  <si>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</si>
  <si>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</si>
  <si>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</si>
  <si>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</si>
  <si>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</si>
  <si>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</si>
  <si>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</si>
  <si>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</si>
  <si>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</si>
  <si>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</si>
  <si>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</si>
  <si>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</si>
  <si>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</si>
  <si>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</si>
  <si>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</si>
  <si>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</si>
  <si>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</si>
  <si>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</si>
  <si>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</si>
  <si>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</si>
  <si>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</si>
  <si>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</si>
  <si>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</si>
  <si>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</si>
  <si>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</si>
  <si>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</si>
  <si>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</si>
  <si>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</si>
  <si>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</si>
  <si>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</si>
  <si>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</si>
  <si>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</si>
  <si>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</si>
  <si>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</si>
  <si>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</si>
  <si>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</si>
  <si>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</si>
  <si>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</si>
  <si>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</si>
  <si>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</si>
  <si>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</si>
  <si>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</si>
  <si>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</si>
  <si>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</si>
  <si>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</si>
  <si>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</si>
  <si>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</si>
  <si>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</si>
  <si>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</si>
  <si>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</si>
  <si>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</si>
  <si>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</si>
  <si>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</si>
  <si>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</si>
  <si>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</si>
  <si>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</si>
  <si>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</si>
  <si>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</si>
  <si>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</si>
  <si>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</si>
  <si>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</si>
  <si>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</si>
  <si>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</si>
  <si>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</si>
  <si>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</si>
  <si>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</si>
  <si>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</si>
  <si>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</si>
  <si>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</si>
  <si>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</si>
  <si>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</si>
  <si>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</si>
  <si>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</si>
  <si>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</si>
  <si>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</si>
  <si>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</si>
  <si>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</si>
  <si>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</si>
  <si>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</si>
  <si>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</si>
  <si>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</si>
  <si>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</si>
  <si>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</si>
  <si>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</si>
  <si>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</si>
  <si>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</si>
  <si>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</si>
  <si>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</si>
  <si>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</si>
  <si>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</si>
  <si>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</si>
  <si>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</si>
  <si>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</si>
  <si>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</si>
  <si>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</si>
  <si>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</si>
  <si>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</si>
  <si>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</si>
  <si>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</si>
  <si>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</si>
  <si>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</si>
  <si>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</si>
  <si>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</si>
  <si>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</si>
  <si>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</si>
  <si>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</si>
  <si>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</si>
  <si>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</si>
  <si>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</si>
  <si>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</si>
  <si>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</si>
  <si>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</si>
  <si>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</si>
  <si>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</si>
  <si>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</si>
  <si>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</si>
  <si>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</si>
  <si>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</si>
  <si>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</si>
  <si>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</si>
  <si>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</si>
  <si>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</si>
  <si>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</si>
  <si>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</si>
  <si>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</si>
  <si>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</si>
  <si>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</si>
  <si>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</si>
  <si>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</si>
  <si>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</si>
  <si>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</si>
  <si>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</si>
  <si>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</si>
  <si>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</si>
  <si>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</si>
  <si>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</si>
  <si>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</si>
  <si>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</si>
  <si>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</si>
  <si>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</si>
  <si>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</si>
  <si>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</si>
  <si>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</si>
  <si>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</si>
  <si>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</si>
  <si>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</si>
  <si>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</si>
  <si>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</si>
  <si>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</si>
  <si>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</si>
  <si>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</si>
  <si>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</si>
  <si>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</si>
  <si>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</si>
  <si>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</si>
  <si>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</si>
  <si>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</si>
  <si>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</si>
  <si>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</si>
  <si>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</si>
  <si>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</si>
  <si>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</si>
  <si>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</si>
  <si>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</si>
  <si>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</si>
  <si>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</si>
  <si>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</si>
  <si>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</si>
  <si>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</si>
  <si>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</si>
  <si>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</si>
  <si>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</si>
  <si>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</si>
  <si>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</si>
  <si>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</si>
  <si>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</si>
  <si>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</si>
  <si>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</si>
  <si>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</si>
  <si>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</si>
  <si>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</si>
  <si>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</si>
  <si>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</si>
  <si>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</si>
  <si>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</si>
  <si>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</si>
  <si>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</si>
  <si>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</si>
  <si>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</si>
  <si>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</si>
  <si>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</si>
  <si>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</si>
  <si>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</si>
  <si>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</si>
  <si>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</si>
  <si>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</si>
  <si>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</si>
  <si>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</si>
  <si>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</si>
  <si>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</si>
  <si>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</si>
  <si>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</si>
  <si>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</si>
  <si>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</si>
  <si>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</si>
  <si>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</si>
  <si>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</si>
  <si>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</si>
  <si>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</si>
  <si>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</si>
  <si>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</si>
  <si>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</si>
  <si>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</si>
  <si>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</si>
  <si>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</si>
  <si>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</si>
  <si>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</si>
  <si>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</si>
  <si>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</si>
  <si>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</si>
  <si>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</si>
  <si>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</si>
  <si>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</si>
  <si>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03299015</t>
  </si>
  <si>
    <t>08004595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</si>
  <si>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</si>
  <si>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</si>
  <si>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</si>
  <si>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</si>
  <si>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</si>
  <si>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</si>
  <si>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</si>
  <si>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4771</t>
  </si>
  <si>
    <t>Goranko Fižulić</t>
  </si>
  <si>
    <t xml:space="preserve"> </t>
  </si>
  <si>
    <t>Obveznik: MAGMA D.D.</t>
  </si>
  <si>
    <t>POSLOVNO IZVJEŠTAVANJE J.D.O.O.</t>
  </si>
  <si>
    <t>04523059</t>
  </si>
  <si>
    <t>Ranko Milić</t>
  </si>
  <si>
    <t>DA</t>
  </si>
  <si>
    <t>MAGMA 21  d.o.o.</t>
  </si>
  <si>
    <t>ZAGREB BAŠTIJANOVA 52A</t>
  </si>
  <si>
    <t>04162501</t>
  </si>
  <si>
    <t>stanje na dan 31.12.2017.</t>
  </si>
  <si>
    <t>31.12.2017.</t>
  </si>
  <si>
    <t>u razdoblju 01.01.2017. do 31.12.2017.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</si>
</sst>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9" fillId="32" borderId="37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2" fillId="33" borderId="46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9" fillId="34" borderId="36" xfId="0" applyFont="1" applyFill="1" applyBorder="1" applyAlignment="1">
      <alignment vertical="center" wrapText="1"/>
    </xf>
    <xf numFmtId="0" fontId="9" fillId="34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9" fillId="35" borderId="37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257</v>
      </c>
      <c r="B2" s="124"/>
      <c r="C2" s="124"/>
      <c r="D2" s="125"/>
      <c r="E2" s="24" t="s">
        <v>324</v>
      </c>
      <c r="F2" s="25"/>
      <c r="G2" s="26" t="s">
        <v>258</v>
      </c>
      <c r="H2" s="24" t="s">
        <v>346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259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22" t="s">
        <v>325</v>
      </c>
      <c r="D6" s="123"/>
      <c r="E6" s="129"/>
      <c r="F6" s="129"/>
      <c r="G6" s="129"/>
      <c r="H6" s="129"/>
      <c r="I6" s="39"/>
      <c r="J6" s="22"/>
      <c r="K6" s="22"/>
      <c r="L6" s="22"/>
    </row>
    <row r="7" spans="1:12" ht="12.75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.75">
      <c r="A8" s="130" t="s">
        <v>261</v>
      </c>
      <c r="B8" s="131"/>
      <c r="C8" s="122" t="s">
        <v>326</v>
      </c>
      <c r="D8" s="123"/>
      <c r="E8" s="129"/>
      <c r="F8" s="129"/>
      <c r="G8" s="129"/>
      <c r="H8" s="12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9" t="s">
        <v>262</v>
      </c>
      <c r="B10" s="120"/>
      <c r="C10" s="122" t="s">
        <v>327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1"/>
      <c r="B11" s="12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32" t="s">
        <v>328</v>
      </c>
      <c r="D12" s="137"/>
      <c r="E12" s="137"/>
      <c r="F12" s="137"/>
      <c r="G12" s="137"/>
      <c r="H12" s="137"/>
      <c r="I12" s="13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39">
        <v>10000</v>
      </c>
      <c r="D14" s="140"/>
      <c r="E14" s="31"/>
      <c r="F14" s="132" t="s">
        <v>329</v>
      </c>
      <c r="G14" s="137"/>
      <c r="H14" s="137"/>
      <c r="I14" s="13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32" t="s">
        <v>330</v>
      </c>
      <c r="D16" s="137"/>
      <c r="E16" s="137"/>
      <c r="F16" s="137"/>
      <c r="G16" s="137"/>
      <c r="H16" s="137"/>
      <c r="I16" s="13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41" t="s">
        <v>331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41" t="s">
        <v>332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133</v>
      </c>
      <c r="D22" s="132" t="s">
        <v>329</v>
      </c>
      <c r="E22" s="133"/>
      <c r="F22" s="134"/>
      <c r="G22" s="135"/>
      <c r="H22" s="13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21</v>
      </c>
      <c r="D24" s="132" t="s">
        <v>333</v>
      </c>
      <c r="E24" s="133"/>
      <c r="F24" s="133"/>
      <c r="G24" s="134"/>
      <c r="H24" s="38" t="s">
        <v>270</v>
      </c>
      <c r="I24" s="48">
        <v>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341</v>
      </c>
      <c r="D26" s="50"/>
      <c r="E26" s="22"/>
      <c r="F26" s="51"/>
      <c r="G26" s="127" t="s">
        <v>273</v>
      </c>
      <c r="H26" s="128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 t="s">
        <v>342</v>
      </c>
      <c r="B30" s="145"/>
      <c r="C30" s="145"/>
      <c r="D30" s="146"/>
      <c r="E30" s="144" t="s">
        <v>343</v>
      </c>
      <c r="F30" s="145"/>
      <c r="G30" s="145"/>
      <c r="H30" s="122" t="s">
        <v>344</v>
      </c>
      <c r="I30" s="123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/>
      <c r="B32" s="145"/>
      <c r="C32" s="145"/>
      <c r="D32" s="146"/>
      <c r="E32" s="144"/>
      <c r="F32" s="145"/>
      <c r="G32" s="145"/>
      <c r="H32" s="122"/>
      <c r="I32" s="12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45"/>
      <c r="C34" s="145"/>
      <c r="D34" s="146"/>
      <c r="E34" s="144"/>
      <c r="F34" s="145"/>
      <c r="G34" s="145"/>
      <c r="H34" s="122"/>
      <c r="I34" s="123"/>
      <c r="J34" s="22"/>
      <c r="K34" s="22"/>
      <c r="L34" s="22"/>
    </row>
    <row r="35" spans="1:12" ht="12.75">
      <c r="A35" s="45" t="s">
        <v>336</v>
      </c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45"/>
      <c r="C36" s="145"/>
      <c r="D36" s="146"/>
      <c r="E36" s="144"/>
      <c r="F36" s="145"/>
      <c r="G36" s="145"/>
      <c r="H36" s="122"/>
      <c r="I36" s="123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22"/>
      <c r="I38" s="12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22"/>
      <c r="I40" s="12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22" t="s">
        <v>339</v>
      </c>
      <c r="D44" s="123"/>
      <c r="E44" s="32"/>
      <c r="F44" s="132" t="s">
        <v>338</v>
      </c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2" t="s">
        <v>340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/>
      <c r="D48" s="161"/>
      <c r="E48" s="162"/>
      <c r="F48" s="32"/>
      <c r="G48" s="38" t="s">
        <v>281</v>
      </c>
      <c r="H48" s="160"/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331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60" t="s">
        <v>335</v>
      </c>
      <c r="D52" s="161"/>
      <c r="E52" s="161"/>
      <c r="F52" s="161"/>
      <c r="G52" s="161"/>
      <c r="H52" s="161"/>
      <c r="I52" s="138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4" t="s">
        <v>317</v>
      </c>
      <c r="I56" s="174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4"/>
      <c r="I57" s="174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4"/>
      <c r="I58" s="174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4"/>
      <c r="I59" s="174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4:G34 A32:I32 A30:I30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I112" sqref="I112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06" t="s">
        <v>159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345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2.75">
      <c r="A4" s="213" t="s">
        <v>337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61</v>
      </c>
      <c r="B5" s="217"/>
      <c r="C5" s="217"/>
      <c r="D5" s="217"/>
      <c r="E5" s="217"/>
      <c r="F5" s="217"/>
      <c r="G5" s="217"/>
      <c r="H5" s="218"/>
      <c r="I5" s="77" t="s">
        <v>288</v>
      </c>
      <c r="J5" s="78" t="s">
        <v>115</v>
      </c>
      <c r="K5" s="79" t="s">
        <v>116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.7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184" t="s">
        <v>62</v>
      </c>
      <c r="B8" s="185"/>
      <c r="C8" s="185"/>
      <c r="D8" s="185"/>
      <c r="E8" s="185"/>
      <c r="F8" s="185"/>
      <c r="G8" s="185"/>
      <c r="H8" s="205"/>
      <c r="I8" s="6">
        <v>1</v>
      </c>
      <c r="J8" s="11"/>
      <c r="K8" s="11"/>
    </row>
    <row r="9" spans="1:11" ht="12.75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0</v>
      </c>
      <c r="K9" s="12">
        <f>K10+K17+K27+K36+K40</f>
        <v>0</v>
      </c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/>
      <c r="K11" s="13"/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/>
      <c r="K12" s="13"/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/>
      <c r="K13" s="13"/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/>
      <c r="K15" s="13"/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/>
      <c r="K16" s="13"/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0</v>
      </c>
      <c r="K17" s="12">
        <f>SUM(K18:K26)</f>
        <v>0</v>
      </c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/>
      <c r="K18" s="13"/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/>
      <c r="K19" s="13"/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/>
      <c r="K20" s="13"/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/>
      <c r="K21" s="13"/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/>
      <c r="K23" s="13"/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/>
      <c r="K24" s="13"/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/>
      <c r="K25" s="13"/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/>
      <c r="K26" s="13"/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/>
      <c r="K28" s="13">
        <f>20000-20000</f>
        <v>0</v>
      </c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/>
      <c r="K30" s="13"/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/>
      <c r="K32" s="13">
        <f>62628-62628</f>
        <v>0</v>
      </c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/>
      <c r="K33" s="13"/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/>
      <c r="K34" s="13"/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/>
      <c r="K38" s="13"/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/>
      <c r="K39" s="13"/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/>
      <c r="K40" s="13"/>
    </row>
    <row r="41" spans="1:11" ht="12.75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48770851</v>
      </c>
      <c r="K41" s="12">
        <f>K42+K50+K57+K65</f>
        <v>45377229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48491163</v>
      </c>
      <c r="K42" s="12">
        <f>SUM(K43:K49)</f>
        <v>45050760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/>
      <c r="K43" s="13"/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/>
      <c r="K44" s="13"/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/>
      <c r="K45" s="13"/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/>
      <c r="K46" s="13">
        <f>636300-636300</f>
        <v>0</v>
      </c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/>
      <c r="K47" s="13"/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>
        <v>48491163</v>
      </c>
      <c r="K48" s="13">
        <v>45050760</v>
      </c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211441</v>
      </c>
      <c r="K50" s="12">
        <f>SUM(K51:K56)</f>
        <v>97333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/>
      <c r="K51" s="13">
        <f>930143-930143</f>
        <v>0</v>
      </c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203159</v>
      </c>
      <c r="K52" s="13">
        <v>16330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/>
      <c r="K54" s="13">
        <v>75674</v>
      </c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8282</v>
      </c>
      <c r="K55" s="13">
        <v>5327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/>
      <c r="K56" s="13">
        <v>2</v>
      </c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0</v>
      </c>
      <c r="K57" s="12">
        <f>SUM(K58:K64)</f>
        <v>24832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/>
      <c r="K63" s="13">
        <v>24832</v>
      </c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/>
      <c r="K64" s="13"/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68247</v>
      </c>
      <c r="K65" s="13">
        <v>204304</v>
      </c>
    </row>
    <row r="66" spans="1:11" ht="12.75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40512</v>
      </c>
      <c r="K66" s="13">
        <f>40509+66000</f>
        <v>106509</v>
      </c>
    </row>
    <row r="67" spans="1:11" ht="12.75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48811363</v>
      </c>
      <c r="K67" s="12">
        <f>K8+K9+K41+K66</f>
        <v>45483738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/>
      <c r="K68" s="14"/>
    </row>
    <row r="69" spans="1:11" ht="12.75">
      <c r="A69" s="180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4" t="s">
        <v>199</v>
      </c>
      <c r="B70" s="185"/>
      <c r="C70" s="185"/>
      <c r="D70" s="185"/>
      <c r="E70" s="185"/>
      <c r="F70" s="185"/>
      <c r="G70" s="185"/>
      <c r="H70" s="205"/>
      <c r="I70" s="6">
        <v>62</v>
      </c>
      <c r="J70" s="20">
        <f>J71+J72+J73+J79+J80+J83+J86</f>
        <v>-87261063</v>
      </c>
      <c r="K70" s="20">
        <f>K71+K72+K73+K79+K80+K83+K86</f>
        <v>-87559772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299922880</v>
      </c>
      <c r="K71" s="13">
        <f>299922880+20000-20000</f>
        <v>299922880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>
        <v>205749617</v>
      </c>
      <c r="K72" s="13">
        <v>205749617</v>
      </c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-62628</v>
      </c>
      <c r="K73" s="12">
        <f>K74+K75-K76+K77+K78</f>
        <v>-62628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/>
      <c r="K74" s="13"/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>
        <v>13189877</v>
      </c>
      <c r="K75" s="13">
        <v>13189877</v>
      </c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>
        <v>13252505</v>
      </c>
      <c r="K76" s="13">
        <f>13189877+62628</f>
        <v>13252505</v>
      </c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/>
      <c r="K78" s="13"/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/>
      <c r="K79" s="13"/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-637950329</v>
      </c>
      <c r="K80" s="12">
        <f>K81-K82</f>
        <v>-592870932</v>
      </c>
    </row>
    <row r="81" spans="1:11" ht="12.75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/>
      <c r="K81" s="13"/>
    </row>
    <row r="82" spans="1:11" ht="12.75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>
        <v>637950329</v>
      </c>
      <c r="K82" s="13">
        <f>592507740+363192</f>
        <v>592870932</v>
      </c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45079397</v>
      </c>
      <c r="K83" s="12">
        <f>K84-K85</f>
        <v>-298709</v>
      </c>
    </row>
    <row r="84" spans="1:11" ht="12.75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>
        <v>45123437</v>
      </c>
      <c r="K84" s="13"/>
    </row>
    <row r="85" spans="1:11" ht="12.75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>
        <v>44040</v>
      </c>
      <c r="K85" s="13">
        <v>298709</v>
      </c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</row>
    <row r="87" spans="1:11" ht="12.75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/>
      <c r="K88" s="13"/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/>
      <c r="K90" s="13"/>
    </row>
    <row r="91" spans="1:11" ht="12.75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64438010</v>
      </c>
      <c r="K91" s="12">
        <f>SUM(K92:K100)</f>
        <v>64438010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/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42301280</v>
      </c>
      <c r="K94" s="13">
        <v>42301280</v>
      </c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>
        <v>22136730</v>
      </c>
      <c r="K99" s="13">
        <v>22136730</v>
      </c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/>
      <c r="K100" s="13"/>
    </row>
    <row r="101" spans="1:11" ht="12.75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71191164</v>
      </c>
      <c r="K101" s="12">
        <f>SUM(K102:K113)</f>
        <v>67867237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>
        <f>930143-930143</f>
        <v>0</v>
      </c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>
        <v>102795</v>
      </c>
      <c r="K103" s="13">
        <v>18065</v>
      </c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/>
      <c r="K104" s="13"/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13706</v>
      </c>
      <c r="K105" s="13">
        <f>13706+20000</f>
        <v>33706</v>
      </c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2039332</v>
      </c>
      <c r="K106" s="13">
        <f>2084963+50569</f>
        <v>2135532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/>
      <c r="K107" s="13"/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14194362</v>
      </c>
      <c r="K109" s="13">
        <f>13957995+3858</f>
        <v>13961853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6349779</v>
      </c>
      <c r="K110" s="13">
        <f>6664939+2355</f>
        <v>6667294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/>
      <c r="K111" s="13"/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>
        <v>48491163</v>
      </c>
      <c r="K112" s="13">
        <v>45050760</v>
      </c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27</v>
      </c>
      <c r="K113" s="13">
        <v>27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443252</v>
      </c>
      <c r="K114" s="13">
        <f>34096+704167</f>
        <v>738263</v>
      </c>
    </row>
    <row r="115" spans="1:11" ht="12.75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48811363</v>
      </c>
      <c r="K115" s="12">
        <f>K70+K87+K91+K101+K114</f>
        <v>45483738</v>
      </c>
    </row>
    <row r="116" spans="1:11" ht="12.75">
      <c r="A116" s="177" t="s">
        <v>59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/>
      <c r="K116" s="14"/>
    </row>
    <row r="117" spans="1:11" ht="12.75">
      <c r="A117" s="180" t="s">
        <v>289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>
      <c r="A118" s="184" t="s">
        <v>193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>
        <v>-87261063</v>
      </c>
      <c r="K119" s="13">
        <v>-87559772</v>
      </c>
    </row>
    <row r="120" spans="1:11" ht="12.75">
      <c r="A120" s="191" t="s">
        <v>9</v>
      </c>
      <c r="B120" s="192"/>
      <c r="C120" s="192"/>
      <c r="D120" s="192"/>
      <c r="E120" s="192"/>
      <c r="F120" s="192"/>
      <c r="G120" s="192"/>
      <c r="H120" s="19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5" t="s">
        <v>102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2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9" customHeight="1"/>
  <cols>
    <col min="10" max="11" width="10.421875" style="0" bestFit="1" customWidth="1"/>
  </cols>
  <sheetData>
    <row r="1" spans="1:11" ht="12.75">
      <c r="A1" s="206" t="s">
        <v>160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347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9" customHeight="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9" customHeight="1">
      <c r="A4" s="234" t="s">
        <v>337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9" customHeight="1" thickBot="1">
      <c r="A5" s="237" t="s">
        <v>61</v>
      </c>
      <c r="B5" s="237"/>
      <c r="C5" s="237"/>
      <c r="D5" s="237"/>
      <c r="E5" s="237"/>
      <c r="F5" s="237"/>
      <c r="G5" s="237"/>
      <c r="H5" s="237"/>
      <c r="I5" s="77" t="s">
        <v>290</v>
      </c>
      <c r="J5" s="79" t="s">
        <v>156</v>
      </c>
      <c r="K5" s="79" t="s">
        <v>157</v>
      </c>
    </row>
    <row r="6" spans="1:11" ht="9" customHeight="1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9" customHeight="1">
      <c r="A7" s="184" t="s">
        <v>26</v>
      </c>
      <c r="B7" s="185"/>
      <c r="C7" s="185"/>
      <c r="D7" s="185"/>
      <c r="E7" s="185"/>
      <c r="F7" s="185"/>
      <c r="G7" s="185"/>
      <c r="H7" s="205"/>
      <c r="I7" s="6">
        <v>111</v>
      </c>
      <c r="J7" s="20">
        <f>SUM(J8:J9)</f>
        <v>46336202</v>
      </c>
      <c r="K7" s="20">
        <f>SUM(K8:K9)</f>
        <v>3071322</v>
      </c>
    </row>
    <row r="8" spans="1:11" ht="9" customHeight="1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676206</v>
      </c>
      <c r="K8" s="13">
        <f>1099024+106869-689872</f>
        <v>516021</v>
      </c>
    </row>
    <row r="9" spans="1:11" ht="9" customHeight="1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45659996</v>
      </c>
      <c r="K9" s="13">
        <v>2555301</v>
      </c>
    </row>
    <row r="10" spans="1:11" ht="9" customHeight="1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1402556</v>
      </c>
      <c r="K10" s="12">
        <f>K11+K12+K16+K20+K21+K22+K25+K26</f>
        <v>3218194</v>
      </c>
    </row>
    <row r="11" spans="1:11" ht="9" customHeight="1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/>
      <c r="K11" s="13"/>
    </row>
    <row r="12" spans="1:11" ht="9" customHeight="1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896</v>
      </c>
      <c r="K12" s="12">
        <f>SUM(K13:K15)</f>
        <v>840</v>
      </c>
    </row>
    <row r="13" spans="1:11" ht="9" customHeight="1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896</v>
      </c>
      <c r="K13" s="13">
        <v>840</v>
      </c>
    </row>
    <row r="14" spans="1:11" ht="9" customHeight="1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/>
      <c r="K14" s="13"/>
    </row>
    <row r="15" spans="1:11" ht="9" customHeight="1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/>
      <c r="K15" s="13"/>
    </row>
    <row r="16" spans="1:11" ht="9" customHeight="1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76789</v>
      </c>
      <c r="K16" s="12">
        <f>SUM(K17:K19)</f>
        <v>86643</v>
      </c>
    </row>
    <row r="17" spans="1:11" ht="9" customHeight="1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52416</v>
      </c>
      <c r="K17" s="13">
        <f>12687+45600</f>
        <v>58287</v>
      </c>
    </row>
    <row r="18" spans="1:11" ht="9" customHeight="1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13104</v>
      </c>
      <c r="K18" s="13">
        <f>3172+12073</f>
        <v>15245</v>
      </c>
    </row>
    <row r="19" spans="1:11" ht="9" customHeight="1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11269</v>
      </c>
      <c r="K19" s="13">
        <f>2728+10383</f>
        <v>13111</v>
      </c>
    </row>
    <row r="20" spans="1:11" ht="9" customHeight="1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/>
      <c r="K20" s="13"/>
    </row>
    <row r="21" spans="1:11" ht="9" customHeight="1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f>274123+828509+222239</f>
        <v>1324871</v>
      </c>
      <c r="K21" s="13">
        <f>2807174+165181+211928-53572</f>
        <v>3130711</v>
      </c>
    </row>
    <row r="22" spans="1:11" ht="9" customHeight="1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0</v>
      </c>
      <c r="K22" s="12">
        <f>SUM(K23:K24)</f>
        <v>0</v>
      </c>
    </row>
    <row r="23" spans="1:11" ht="9" customHeight="1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/>
      <c r="K23" s="13"/>
    </row>
    <row r="24" spans="1:11" ht="9" customHeight="1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/>
      <c r="K24" s="13"/>
    </row>
    <row r="25" spans="1:11" ht="9" customHeight="1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/>
      <c r="K25" s="13"/>
    </row>
    <row r="26" spans="1:11" ht="9" customHeight="1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/>
      <c r="K26" s="13"/>
    </row>
    <row r="27" spans="1:11" ht="9" customHeight="1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65</v>
      </c>
      <c r="K27" s="12">
        <f>SUM(K28:K32)</f>
        <v>5</v>
      </c>
    </row>
    <row r="28" spans="1:11" ht="9" customHeight="1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/>
      <c r="K28" s="13"/>
    </row>
    <row r="29" spans="1:11" ht="9" customHeight="1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65</v>
      </c>
      <c r="K29" s="13">
        <v>5</v>
      </c>
    </row>
    <row r="30" spans="1:11" ht="9" customHeight="1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 ht="9" customHeight="1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 ht="9" customHeight="1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/>
    </row>
    <row r="33" spans="1:11" ht="9" customHeight="1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0</v>
      </c>
      <c r="K33" s="12">
        <f>SUM(K34:K37)</f>
        <v>0</v>
      </c>
    </row>
    <row r="34" spans="1:11" ht="9" customHeight="1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/>
      <c r="K34" s="13"/>
    </row>
    <row r="35" spans="1:11" ht="9" customHeight="1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/>
      <c r="K35" s="13"/>
    </row>
    <row r="36" spans="1:11" ht="9" customHeight="1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/>
      <c r="K36" s="13"/>
    </row>
    <row r="37" spans="1:11" ht="9" customHeight="1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/>
    </row>
    <row r="38" spans="1:11" ht="9" customHeight="1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 ht="9" customHeight="1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 ht="9" customHeight="1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 ht="9" customHeight="1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 ht="9" customHeight="1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46336267</v>
      </c>
      <c r="K42" s="12">
        <f>K7+K27+K38+K40</f>
        <v>3071327</v>
      </c>
    </row>
    <row r="43" spans="1:11" ht="9" customHeight="1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v>1256870</v>
      </c>
      <c r="K43" s="12">
        <f>K10+K33+K39+K41</f>
        <v>3218194</v>
      </c>
    </row>
    <row r="44" spans="1:11" ht="9" customHeight="1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45079397</v>
      </c>
      <c r="K44" s="12">
        <f>K42-K43</f>
        <v>-146867</v>
      </c>
    </row>
    <row r="45" spans="1:11" ht="9" customHeight="1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45079397</v>
      </c>
      <c r="K45" s="12">
        <f>IF(K42&gt;K43,K42-K43,0)</f>
        <v>0</v>
      </c>
    </row>
    <row r="46" spans="1:11" ht="9" customHeight="1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0</v>
      </c>
      <c r="K46" s="12">
        <f>IF(K43&gt;K42,K43-K42,0)</f>
        <v>146867</v>
      </c>
    </row>
    <row r="47" spans="1:11" ht="9" customHeight="1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/>
      <c r="K47" s="13">
        <v>151842</v>
      </c>
    </row>
    <row r="48" spans="1:11" ht="9" customHeight="1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45079397</v>
      </c>
      <c r="K48" s="12">
        <f>K44-K47</f>
        <v>-298709</v>
      </c>
    </row>
    <row r="49" spans="1:11" ht="9" customHeight="1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45079397</v>
      </c>
      <c r="K49" s="12">
        <f>IF(K48&gt;0,K48,0)</f>
        <v>0</v>
      </c>
    </row>
    <row r="50" spans="1:11" ht="9" customHeight="1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298709</v>
      </c>
    </row>
    <row r="51" spans="1:11" ht="9" customHeight="1">
      <c r="A51" s="180" t="s">
        <v>120</v>
      </c>
      <c r="B51" s="181"/>
      <c r="C51" s="181"/>
      <c r="D51" s="181"/>
      <c r="E51" s="181"/>
      <c r="F51" s="181"/>
      <c r="G51" s="181"/>
      <c r="H51" s="181"/>
      <c r="I51" s="229"/>
      <c r="J51" s="229"/>
      <c r="K51" s="230"/>
    </row>
    <row r="52" spans="1:11" ht="9" customHeight="1">
      <c r="A52" s="184" t="s">
        <v>194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</row>
    <row r="53" spans="1:11" ht="9" customHeight="1">
      <c r="A53" s="223" t="s">
        <v>242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/>
      <c r="K53" s="13"/>
    </row>
    <row r="54" spans="1:11" ht="9" customHeight="1">
      <c r="A54" s="223" t="s">
        <v>243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9" customHeight="1">
      <c r="A55" s="180" t="s">
        <v>197</v>
      </c>
      <c r="B55" s="181"/>
      <c r="C55" s="181"/>
      <c r="D55" s="181"/>
      <c r="E55" s="181"/>
      <c r="F55" s="181"/>
      <c r="G55" s="181"/>
      <c r="H55" s="181"/>
      <c r="I55" s="229"/>
      <c r="J55" s="229"/>
      <c r="K55" s="230"/>
    </row>
    <row r="56" spans="1:11" ht="9" customHeight="1">
      <c r="A56" s="184" t="s">
        <v>212</v>
      </c>
      <c r="B56" s="185"/>
      <c r="C56" s="185"/>
      <c r="D56" s="185"/>
      <c r="E56" s="185"/>
      <c r="F56" s="185"/>
      <c r="G56" s="185"/>
      <c r="H56" s="205"/>
      <c r="I56" s="21">
        <v>157</v>
      </c>
      <c r="J56" s="11">
        <v>45079397</v>
      </c>
      <c r="K56" s="11">
        <v>-298709</v>
      </c>
    </row>
    <row r="57" spans="1:11" ht="9" customHeight="1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0</v>
      </c>
      <c r="K57" s="12">
        <f>SUM(K58:K64)</f>
        <v>0</v>
      </c>
    </row>
    <row r="58" spans="1:11" ht="9" customHeight="1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9" customHeight="1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9" customHeight="1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 ht="9" customHeight="1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9" customHeight="1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9" customHeight="1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9" customHeight="1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9" customHeight="1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 ht="9" customHeight="1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0</v>
      </c>
      <c r="K66" s="12">
        <f>K57-K65</f>
        <v>0</v>
      </c>
    </row>
    <row r="67" spans="1:11" ht="9" customHeight="1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45079397</v>
      </c>
      <c r="K67" s="18">
        <f>K56+K66</f>
        <v>-298709</v>
      </c>
    </row>
    <row r="68" spans="1:11" ht="9" customHeight="1">
      <c r="A68" s="180" t="s">
        <v>196</v>
      </c>
      <c r="B68" s="181"/>
      <c r="C68" s="181"/>
      <c r="D68" s="181"/>
      <c r="E68" s="181"/>
      <c r="F68" s="181"/>
      <c r="G68" s="181"/>
      <c r="H68" s="181"/>
      <c r="I68" s="229"/>
      <c r="J68" s="229"/>
      <c r="K68" s="230"/>
    </row>
    <row r="69" spans="1:11" ht="9" customHeight="1">
      <c r="A69" s="184" t="s">
        <v>195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</row>
    <row r="70" spans="1:11" ht="9" customHeight="1">
      <c r="A70" s="223" t="s">
        <v>242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>
        <v>45079397</v>
      </c>
      <c r="K70" s="13">
        <v>-298709</v>
      </c>
    </row>
    <row r="71" spans="1:11" ht="9" customHeight="1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K14" sqref="K14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208"/>
    </row>
    <row r="2" spans="1:11" ht="12.75">
      <c r="A2" s="246" t="s">
        <v>347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8" t="s">
        <v>337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45079397</v>
      </c>
      <c r="K8" s="13">
        <v>-298709</v>
      </c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>
        <v>37559</v>
      </c>
      <c r="K11" s="13">
        <v>114108</v>
      </c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>
        <v>3440403</v>
      </c>
    </row>
    <row r="13" spans="1:11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8"/>
      <c r="K13" s="13">
        <f>68125+136057</f>
        <v>204182</v>
      </c>
    </row>
    <row r="14" spans="1:11" ht="12.75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45116956</v>
      </c>
      <c r="K14" s="12">
        <f>SUM(K8:K13)</f>
        <v>3459984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44400352</v>
      </c>
      <c r="K15" s="13">
        <v>3323927</v>
      </c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680096</v>
      </c>
      <c r="K18" s="13"/>
    </row>
    <row r="19" spans="1:11" ht="12.75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45080448</v>
      </c>
      <c r="K19" s="12">
        <f>SUM(K15:K18)</f>
        <v>3323927</v>
      </c>
    </row>
    <row r="20" spans="1:11" ht="18.75" customHeight="1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36508</v>
      </c>
      <c r="K20" s="12">
        <f>IF(K14&gt;K19,K14-K19,0)</f>
        <v>136057</v>
      </c>
    </row>
    <row r="21" spans="1:11" ht="21" customHeight="1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8" t="s">
        <v>165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/>
      <c r="K23" s="13"/>
    </row>
    <row r="24" spans="1:11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/>
      <c r="K29" s="13"/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8" t="s">
        <v>166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/>
      <c r="K40" s="13"/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36508</v>
      </c>
      <c r="K48" s="12">
        <f>IF(K20-K21+K33-K34+K46-K47&gt;0,K20-K21+K33-K34+K46-K47,0)</f>
        <v>136057</v>
      </c>
    </row>
    <row r="49" spans="1:11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104755</v>
      </c>
      <c r="K50" s="13">
        <v>68247</v>
      </c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>
        <v>136057</v>
      </c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>
        <v>36508</v>
      </c>
      <c r="K52" s="13"/>
    </row>
    <row r="53" spans="1:11" ht="12.75">
      <c r="A53" s="191" t="s">
        <v>184</v>
      </c>
      <c r="B53" s="192"/>
      <c r="C53" s="192"/>
      <c r="D53" s="192"/>
      <c r="E53" s="192"/>
      <c r="F53" s="192"/>
      <c r="G53" s="192"/>
      <c r="H53" s="192"/>
      <c r="I53" s="7">
        <v>44</v>
      </c>
      <c r="J53" s="10">
        <f>J50+J51-J52</f>
        <v>68247</v>
      </c>
      <c r="K53" s="18">
        <f>K50+K51-K52</f>
        <v>204304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1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8" t="s">
        <v>166</v>
      </c>
      <c r="B36" s="239"/>
      <c r="C36" s="239"/>
      <c r="D36" s="239"/>
      <c r="E36" s="239"/>
      <c r="F36" s="239"/>
      <c r="G36" s="239"/>
      <c r="H36" s="239"/>
      <c r="I36" s="240">
        <v>0</v>
      </c>
      <c r="J36" s="240"/>
      <c r="K36" s="241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.75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K24" sqref="K2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0.421875" style="98" bestFit="1" customWidth="1"/>
    <col min="12" max="16384" width="9.140625" style="98" customWidth="1"/>
  </cols>
  <sheetData>
    <row r="1" spans="1:12" ht="12.75">
      <c r="A1" s="273" t="s">
        <v>292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7"/>
    </row>
    <row r="2" spans="1:12" ht="15.75">
      <c r="A2" s="95"/>
      <c r="B2" s="96"/>
      <c r="C2" s="260" t="s">
        <v>293</v>
      </c>
      <c r="D2" s="260"/>
      <c r="E2" s="100">
        <v>42736</v>
      </c>
      <c r="F2" s="99" t="s">
        <v>258</v>
      </c>
      <c r="G2" s="261">
        <v>43100</v>
      </c>
      <c r="H2" s="262"/>
      <c r="I2" s="96"/>
      <c r="J2" s="96"/>
      <c r="K2" s="96"/>
      <c r="L2" s="101"/>
    </row>
    <row r="3" spans="1:11" ht="24" thickBot="1">
      <c r="A3" s="263" t="s">
        <v>61</v>
      </c>
      <c r="B3" s="263"/>
      <c r="C3" s="263"/>
      <c r="D3" s="263"/>
      <c r="E3" s="263"/>
      <c r="F3" s="263"/>
      <c r="G3" s="263"/>
      <c r="H3" s="263"/>
      <c r="I3" s="102" t="s">
        <v>316</v>
      </c>
      <c r="J3" s="103" t="s">
        <v>156</v>
      </c>
      <c r="K3" s="103" t="s">
        <v>157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105">
        <v>2</v>
      </c>
      <c r="J4" s="104" t="s">
        <v>294</v>
      </c>
      <c r="K4" s="104" t="s">
        <v>295</v>
      </c>
    </row>
    <row r="5" spans="1:11" ht="12.75">
      <c r="A5" s="258" t="s">
        <v>296</v>
      </c>
      <c r="B5" s="259"/>
      <c r="C5" s="259"/>
      <c r="D5" s="259"/>
      <c r="E5" s="259"/>
      <c r="F5" s="259"/>
      <c r="G5" s="259"/>
      <c r="H5" s="259"/>
      <c r="I5" s="106">
        <v>1</v>
      </c>
      <c r="J5" s="107">
        <v>299922880</v>
      </c>
      <c r="K5" s="107">
        <v>299922880</v>
      </c>
    </row>
    <row r="6" spans="1:11" ht="12.75">
      <c r="A6" s="258" t="s">
        <v>297</v>
      </c>
      <c r="B6" s="259"/>
      <c r="C6" s="259"/>
      <c r="D6" s="259"/>
      <c r="E6" s="259"/>
      <c r="F6" s="259"/>
      <c r="G6" s="259"/>
      <c r="H6" s="259"/>
      <c r="I6" s="106">
        <v>2</v>
      </c>
      <c r="J6" s="108">
        <v>205749617</v>
      </c>
      <c r="K6" s="108">
        <v>205749617</v>
      </c>
    </row>
    <row r="7" spans="1:11" ht="12.75">
      <c r="A7" s="258" t="s">
        <v>298</v>
      </c>
      <c r="B7" s="259"/>
      <c r="C7" s="259"/>
      <c r="D7" s="259"/>
      <c r="E7" s="259"/>
      <c r="F7" s="259"/>
      <c r="G7" s="259"/>
      <c r="H7" s="259"/>
      <c r="I7" s="106">
        <v>3</v>
      </c>
      <c r="J7" s="108">
        <v>-62628</v>
      </c>
      <c r="K7" s="108">
        <v>-62628</v>
      </c>
    </row>
    <row r="8" spans="1:11" ht="12.75">
      <c r="A8" s="258" t="s">
        <v>299</v>
      </c>
      <c r="B8" s="259"/>
      <c r="C8" s="259"/>
      <c r="D8" s="259"/>
      <c r="E8" s="259"/>
      <c r="F8" s="259"/>
      <c r="G8" s="259"/>
      <c r="H8" s="259"/>
      <c r="I8" s="106">
        <v>4</v>
      </c>
      <c r="J8" s="118">
        <v>-637950329</v>
      </c>
      <c r="K8" s="108">
        <v>-592870932</v>
      </c>
    </row>
    <row r="9" spans="1:11" ht="12.75">
      <c r="A9" s="258" t="s">
        <v>300</v>
      </c>
      <c r="B9" s="259"/>
      <c r="C9" s="259"/>
      <c r="D9" s="259"/>
      <c r="E9" s="259"/>
      <c r="F9" s="259"/>
      <c r="G9" s="259"/>
      <c r="H9" s="259"/>
      <c r="I9" s="106">
        <v>5</v>
      </c>
      <c r="J9" s="108">
        <v>45079397</v>
      </c>
      <c r="K9" s="108">
        <v>-298709</v>
      </c>
    </row>
    <row r="10" spans="1:11" ht="12.75">
      <c r="A10" s="258" t="s">
        <v>301</v>
      </c>
      <c r="B10" s="259"/>
      <c r="C10" s="259"/>
      <c r="D10" s="259"/>
      <c r="E10" s="259"/>
      <c r="F10" s="259"/>
      <c r="G10" s="259"/>
      <c r="H10" s="259"/>
      <c r="I10" s="106">
        <v>6</v>
      </c>
      <c r="J10" s="108"/>
      <c r="K10" s="108"/>
    </row>
    <row r="11" spans="1:11" ht="12.75">
      <c r="A11" s="258" t="s">
        <v>302</v>
      </c>
      <c r="B11" s="259"/>
      <c r="C11" s="259"/>
      <c r="D11" s="259"/>
      <c r="E11" s="259"/>
      <c r="F11" s="259"/>
      <c r="G11" s="259"/>
      <c r="H11" s="259"/>
      <c r="I11" s="106">
        <v>7</v>
      </c>
      <c r="J11" s="108"/>
      <c r="K11" s="108"/>
    </row>
    <row r="12" spans="1:11" ht="12.75">
      <c r="A12" s="258" t="s">
        <v>303</v>
      </c>
      <c r="B12" s="259"/>
      <c r="C12" s="259"/>
      <c r="D12" s="259"/>
      <c r="E12" s="259"/>
      <c r="F12" s="259"/>
      <c r="G12" s="259"/>
      <c r="H12" s="259"/>
      <c r="I12" s="106">
        <v>8</v>
      </c>
      <c r="J12" s="108"/>
      <c r="K12" s="108"/>
    </row>
    <row r="13" spans="1:11" ht="12.75">
      <c r="A13" s="258" t="s">
        <v>304</v>
      </c>
      <c r="B13" s="259"/>
      <c r="C13" s="259"/>
      <c r="D13" s="259"/>
      <c r="E13" s="259"/>
      <c r="F13" s="259"/>
      <c r="G13" s="259"/>
      <c r="H13" s="259"/>
      <c r="I13" s="106">
        <v>9</v>
      </c>
      <c r="J13" s="108"/>
      <c r="K13" s="108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-87261063</v>
      </c>
      <c r="K14" s="109">
        <f>SUM(K5:K13)</f>
        <v>-87559772</v>
      </c>
    </row>
    <row r="15" spans="1:11" ht="12.75">
      <c r="A15" s="258" t="s">
        <v>306</v>
      </c>
      <c r="B15" s="259"/>
      <c r="C15" s="259"/>
      <c r="D15" s="259"/>
      <c r="E15" s="259"/>
      <c r="F15" s="259"/>
      <c r="G15" s="259"/>
      <c r="H15" s="259"/>
      <c r="I15" s="106">
        <v>11</v>
      </c>
      <c r="J15" s="108"/>
      <c r="K15" s="108"/>
    </row>
    <row r="16" spans="1:11" ht="12.75">
      <c r="A16" s="258" t="s">
        <v>307</v>
      </c>
      <c r="B16" s="259"/>
      <c r="C16" s="259"/>
      <c r="D16" s="259"/>
      <c r="E16" s="259"/>
      <c r="F16" s="259"/>
      <c r="G16" s="259"/>
      <c r="H16" s="259"/>
      <c r="I16" s="106">
        <v>12</v>
      </c>
      <c r="J16" s="108"/>
      <c r="K16" s="108"/>
    </row>
    <row r="17" spans="1:11" ht="12.75">
      <c r="A17" s="258" t="s">
        <v>308</v>
      </c>
      <c r="B17" s="259"/>
      <c r="C17" s="259"/>
      <c r="D17" s="259"/>
      <c r="E17" s="259"/>
      <c r="F17" s="259"/>
      <c r="G17" s="259"/>
      <c r="H17" s="259"/>
      <c r="I17" s="106">
        <v>13</v>
      </c>
      <c r="J17" s="108"/>
      <c r="K17" s="108"/>
    </row>
    <row r="18" spans="1:11" ht="12.75">
      <c r="A18" s="258" t="s">
        <v>309</v>
      </c>
      <c r="B18" s="259"/>
      <c r="C18" s="259"/>
      <c r="D18" s="259"/>
      <c r="E18" s="259"/>
      <c r="F18" s="259"/>
      <c r="G18" s="259"/>
      <c r="H18" s="259"/>
      <c r="I18" s="106">
        <v>14</v>
      </c>
      <c r="J18" s="108"/>
      <c r="K18" s="108"/>
    </row>
    <row r="19" spans="1:11" ht="12.75">
      <c r="A19" s="258" t="s">
        <v>310</v>
      </c>
      <c r="B19" s="259"/>
      <c r="C19" s="259"/>
      <c r="D19" s="259"/>
      <c r="E19" s="259"/>
      <c r="F19" s="259"/>
      <c r="G19" s="259"/>
      <c r="H19" s="259"/>
      <c r="I19" s="106">
        <v>15</v>
      </c>
      <c r="J19" s="108"/>
      <c r="K19" s="108"/>
    </row>
    <row r="20" spans="1:11" ht="12.75">
      <c r="A20" s="258" t="s">
        <v>311</v>
      </c>
      <c r="B20" s="259"/>
      <c r="C20" s="259"/>
      <c r="D20" s="259"/>
      <c r="E20" s="259"/>
      <c r="F20" s="259"/>
      <c r="G20" s="259"/>
      <c r="H20" s="259"/>
      <c r="I20" s="106">
        <v>16</v>
      </c>
      <c r="J20" s="108"/>
      <c r="K20" s="108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5" t="s">
        <v>313</v>
      </c>
      <c r="B23" s="266"/>
      <c r="C23" s="266"/>
      <c r="D23" s="266"/>
      <c r="E23" s="266"/>
      <c r="F23" s="266"/>
      <c r="G23" s="266"/>
      <c r="H23" s="266"/>
      <c r="I23" s="111">
        <v>18</v>
      </c>
      <c r="J23" s="107">
        <v>-87261063</v>
      </c>
      <c r="K23" s="107">
        <v>-87559772</v>
      </c>
    </row>
    <row r="24" spans="1:11" ht="23.25" customHeight="1">
      <c r="A24" s="267" t="s">
        <v>314</v>
      </c>
      <c r="B24" s="268"/>
      <c r="C24" s="268"/>
      <c r="D24" s="268"/>
      <c r="E24" s="268"/>
      <c r="F24" s="268"/>
      <c r="G24" s="268"/>
      <c r="H24" s="268"/>
      <c r="I24" s="112">
        <v>19</v>
      </c>
      <c r="J24" s="110"/>
      <c r="K24" s="110"/>
    </row>
    <row r="25" spans="1:11" ht="30" customHeight="1">
      <c r="A25" s="271" t="s">
        <v>315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5:J7 J9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Tamara</cp:lastModifiedBy>
  <cp:lastPrinted>2011-03-28T11:17:39Z</cp:lastPrinted>
  <dcterms:created xsi:type="dcterms:W3CDTF">2008-10-17T11:51:54Z</dcterms:created>
  <dcterms:modified xsi:type="dcterms:W3CDTF">2018-04-27T11:28:06Z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