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12" windowHeight="981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<sst xmlns="http://schemas.openxmlformats.org/spreadsheetml/2006/main" count="393" uniqueCount="340">
  <si>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</si>
  <si>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</si>
  <si>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</si>
  <si>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</si>
  <si>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</si>
  <si>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</si>
  <si>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</si>
  <si>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</si>
  <si>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</si>
  <si>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</si>
  <si>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</si>
  <si>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</si>
  <si>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</si>
  <si>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</si>
  <si>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</si>
  <si>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</si>
  <si>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</si>
  <si>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</si>
  <si>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</si>
  <si>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</si>
  <si>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</si>
  <si>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</si>
  <si>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</si>
  <si>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</si>
  <si>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</si>
  <si>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</si>
  <si>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</si>
  <si>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</si>
  <si>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</si>
  <si>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</si>
  <si>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</si>
  <si>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</si>
  <si>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</si>
  <si>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</si>
  <si>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</si>
  <si>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</si>
  <si>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</si>
  <si>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</si>
  <si>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</si>
  <si>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</si>
  <si>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</si>
  <si>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</si>
  <si>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</si>
  <si>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</si>
  <si>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</si>
  <si>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</si>
  <si>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</si>
  <si>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</si>
  <si>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</si>
  <si>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</si>
  <si>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</si>
  <si>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</si>
  <si>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</si>
  <si>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</si>
  <si>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</si>
  <si>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</si>
  <si>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</si>
  <si>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</si>
  <si>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</si>
  <si>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</si>
  <si>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</si>
  <si>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</si>
  <si>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</si>
  <si>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</si>
  <si>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</si>
  <si>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</si>
  <si>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</si>
  <si>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</si>
  <si>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</si>
  <si>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</si>
  <si>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</si>
  <si>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</si>
  <si>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</si>
  <si>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</si>
  <si>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</si>
  <si>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</si>
  <si>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</si>
  <si>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</si>
  <si>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</si>
  <si>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</si>
  <si>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</si>
  <si>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</si>
  <si>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</si>
  <si>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</si>
  <si>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</si>
  <si>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</si>
  <si>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</si>
  <si>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</si>
  <si>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</si>
  <si>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</si>
  <si>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</si>
  <si>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</si>
  <si>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</si>
  <si>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</si>
  <si>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</si>
  <si>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</si>
  <si>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</si>
  <si>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</si>
  <si>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</si>
  <si>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</si>
  <si>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</si>
  <si>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</si>
  <si>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</si>
  <si>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</si>
  <si>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</si>
  <si>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</si>
  <si>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</si>
  <si>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</si>
  <si>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</si>
  <si>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</si>
  <si>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</si>
  <si>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</si>
  <si>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</si>
  <si>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</si>
  <si>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</si>
  <si>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</si>
  <si>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</si>
  <si>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</si>
  <si>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</si>
  <si>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</si>
  <si>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</si>
  <si>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</si>
  <si>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</si>
  <si>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</si>
  <si>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</si>
  <si>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</si>
  <si>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</si>
  <si>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</si>
  <si>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</si>
  <si>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</si>
  <si>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</si>
  <si>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</si>
  <si>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</si>
  <si>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</si>
  <si>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</si>
  <si>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</si>
  <si>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</si>
  <si>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</si>
  <si>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</si>
  <si>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</si>
  <si>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</si>
  <si>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</si>
  <si>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</si>
  <si>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</si>
  <si>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</si>
  <si>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</si>
  <si>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</si>
  <si>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</si>
  <si>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</si>
  <si>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</si>
  <si>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</si>
  <si>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</si>
  <si>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</si>
  <si>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</si>
  <si>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</si>
  <si>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</si>
  <si>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</si>
  <si>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</si>
  <si>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</si>
  <si>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</si>
  <si>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</si>
  <si>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</si>
  <si>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</si>
  <si>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</si>
  <si>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</si>
  <si>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</si>
  <si>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</si>
  <si>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</si>
  <si>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</si>
  <si>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</si>
  <si>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</si>
  <si>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</si>
  <si>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</si>
  <si>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</si>
  <si>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</si>
  <si>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</si>
  <si>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</si>
  <si>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</si>
  <si>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</si>
  <si>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</si>
  <si>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</si>
  <si>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</si>
  <si>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</si>
  <si>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</si>
  <si>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</si>
  <si>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</si>
  <si>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</si>
  <si>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</si>
  <si>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</si>
  <si>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</si>
  <si>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</si>
  <si>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</si>
  <si>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</si>
  <si>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</si>
  <si>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</si>
  <si>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</si>
  <si>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</si>
  <si>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</si>
  <si>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</si>
  <si>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</si>
  <si>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</si>
  <si>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</si>
  <si>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</si>
  <si>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</si>
  <si>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</si>
  <si>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</si>
  <si>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</si>
  <si>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</si>
  <si>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</si>
  <si>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</si>
  <si>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</si>
  <si>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</si>
  <si>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</si>
  <si>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</si>
  <si>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</si>
  <si>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</si>
  <si>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</si>
  <si>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</si>
  <si>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</si>
  <si>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</si>
  <si>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</si>
  <si>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</si>
  <si>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</si>
  <si>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</si>
  <si>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</si>
  <si>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</si>
  <si>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</si>
  <si>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</si>
  <si>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</si>
  <si>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</si>
  <si>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</si>
  <si>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</si>
  <si>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</si>
  <si>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</si>
  <si>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</si>
  <si>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</si>
  <si>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</si>
  <si>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</si>
  <si>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</si>
  <si>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</si>
  <si>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</si>
  <si>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</si>
  <si>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</si>
  <si>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</si>
  <si>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</si>
  <si>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</si>
  <si>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</si>
  <si>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</si>
  <si>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</si>
  <si>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</si>
  <si>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</si>
  <si>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</si>
  <si>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</si>
  <si>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</si>
  <si>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</si>
  <si>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</si>
  <si>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</si>
  <si>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</si>
  <si>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</si>
  <si>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</si>
  <si>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</si>
  <si>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</si>
  <si>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</si>
  <si>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</si>
  <si>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</si>
  <si>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</si>
  <si>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</si>
  <si>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</si>
  <si>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</si>
  <si>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</si>
  <si>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</si>
  <si>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</si>
  <si>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</si>
  <si>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</si>
  <si>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</si>
  <si>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</si>
  <si>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</si>
  <si>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</si>
  <si>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</si>
  <si>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</si>
  <si>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</si>
  <si>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</si>
  <si>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</si>
  <si>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</si>
  <si>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</si>
  <si>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</si>
  <si>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</si>
  <si>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</si>
  <si>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</si>
  <si>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</si>
  <si>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</si>
  <si>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</si>
  <si>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</si>
  <si>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</si>
  <si>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</si>
  <si>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</si>
  <si>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</si>
  <si>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</si>
  <si>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</si>
  <si>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</si>
  <si>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</si>
  <si>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</si>
  <si>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</si>
  <si>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</si>
  <si>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</si>
  <si>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</si>
  <si>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</si>
  <si>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</si>
  <si>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</si>
  <si>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</si>
  <si>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</si>
  <si>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</si>
  <si>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</si>
  <si>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</si>
  <si>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</si>
  <si>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</si>
  <si>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</si>
  <si>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</si>
  <si>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</si>
  <si>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</si>
  <si>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</si>
  <si>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</si>
  <si>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</si>
  <si>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03299015</t>
  </si>
  <si>
    <t>080049595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</si>
  <si>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</si>
  <si>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</si>
  <si>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</si>
  <si>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</si>
  <si>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</si>
  <si>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</si>
  <si>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</si>
  <si>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</si>
  <si>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4717</t>
  </si>
  <si>
    <t>GORANKO FIŽULIĆ</t>
  </si>
  <si>
    <t>Obveznik:  MAGMA d.d.</t>
  </si>
  <si>
    <t>01.01.2013.</t>
  </si>
  <si>
    <t>31.12.2013.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</si>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</sst>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336</v>
      </c>
      <c r="F2" s="12"/>
      <c r="G2" s="13" t="s">
        <v>250</v>
      </c>
      <c r="H2" s="120" t="s">
        <v>337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48" t="s">
        <v>323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48" t="s">
        <v>324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48" t="s">
        <v>325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0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0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0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0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0" t="s">
        <v>331</v>
      </c>
      <c r="E24" s="163"/>
      <c r="F24" s="163"/>
      <c r="G24" s="164"/>
      <c r="H24" s="51" t="s">
        <v>261</v>
      </c>
      <c r="I24" s="122">
        <v>22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332</v>
      </c>
      <c r="D26" s="25"/>
      <c r="E26" s="33"/>
      <c r="F26" s="24"/>
      <c r="G26" s="165" t="s">
        <v>263</v>
      </c>
      <c r="H26" s="136"/>
      <c r="I26" s="124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1"/>
      <c r="C30" s="151"/>
      <c r="D30" s="152"/>
      <c r="E30" s="160"/>
      <c r="F30" s="151"/>
      <c r="G30" s="151"/>
      <c r="H30" s="148"/>
      <c r="I30" s="149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1"/>
      <c r="C32" s="151"/>
      <c r="D32" s="152"/>
      <c r="E32" s="160"/>
      <c r="F32" s="151"/>
      <c r="G32" s="151"/>
      <c r="H32" s="148"/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0"/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/>
      <c r="D48" s="133"/>
      <c r="E48" s="134"/>
      <c r="F48" s="16"/>
      <c r="G48" s="51" t="s">
        <v>271</v>
      </c>
      <c r="H48" s="137"/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/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334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4" t="s">
        <v>273</v>
      </c>
      <c r="D53" s="144"/>
      <c r="E53" s="144"/>
      <c r="F53" s="144"/>
      <c r="G53" s="144"/>
      <c r="H53" s="14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5">
      <selection activeCell="K47" sqref="K47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82004983</v>
      </c>
      <c r="K8" s="53">
        <f>K9+K16+K26+K35+K39</f>
        <v>9202616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8594651</v>
      </c>
      <c r="K9" s="53">
        <f>SUM(K10:K15)</f>
        <v>8594651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8594651</v>
      </c>
      <c r="K11" s="7">
        <v>8594651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72615660</v>
      </c>
      <c r="K16" s="53">
        <f>SUM(K17:K25)</f>
        <v>123293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/>
      <c r="K17" s="7"/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72126561</v>
      </c>
      <c r="K18" s="7"/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/>
      <c r="K19" s="7"/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123293</v>
      </c>
      <c r="K20" s="7">
        <v>123293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365806</v>
      </c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794672</v>
      </c>
      <c r="K26" s="53">
        <f>SUM(K27:K34)</f>
        <v>484672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20000</v>
      </c>
      <c r="K27" s="7">
        <v>40000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9800</v>
      </c>
      <c r="K29" s="7">
        <v>9800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62628</v>
      </c>
      <c r="K31" s="7">
        <v>62628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702244</v>
      </c>
      <c r="K32" s="7">
        <v>372244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26918309</v>
      </c>
      <c r="K40" s="53">
        <f>K41+K49+K56+K64</f>
        <v>62482565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+J42+J43+J44+J45+J46+J47+J48</f>
        <v>0</v>
      </c>
      <c r="K41" s="53">
        <f>+K42+K43+K44+K45+K46+K47+K48</f>
        <v>48491163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/>
      <c r="K42" s="7"/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>
        <v>48491163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23107839</v>
      </c>
      <c r="K49" s="53">
        <f>SUM(K50:K55)</f>
        <v>13949754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18835596</v>
      </c>
      <c r="K50" s="7">
        <v>12060392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2315260</v>
      </c>
      <c r="K51" s="7"/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8567</v>
      </c>
      <c r="K53" s="7">
        <v>8567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/>
      <c r="K54" s="7"/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1948416</v>
      </c>
      <c r="K55" s="7">
        <f>1321669+559126</f>
        <v>1880795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3809817</v>
      </c>
      <c r="K56" s="53">
        <f>SUM(K57:K63)</f>
        <v>38272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3809817</v>
      </c>
      <c r="K62" s="7">
        <v>38272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653</v>
      </c>
      <c r="K64" s="7">
        <f>3185+191</f>
        <v>3376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/>
      <c r="K65" s="7"/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108923292</v>
      </c>
      <c r="K66" s="53">
        <f>K7+K8+K40+K65</f>
        <v>71685181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-469370813</v>
      </c>
      <c r="K69" s="54">
        <f>K70+K71+K72+K78+K79+K82+K85</f>
        <v>-442986529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67748710</v>
      </c>
      <c r="K70" s="7">
        <v>67748710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205749617</v>
      </c>
      <c r="K71" s="7">
        <v>205749617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13189877</v>
      </c>
      <c r="K74" s="7">
        <v>13189877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13189877</v>
      </c>
      <c r="K75" s="7">
        <v>13189877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-678349442</v>
      </c>
      <c r="K79" s="53">
        <f>K80-K81</f>
        <v>-742869140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832821</v>
      </c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679182263</v>
      </c>
      <c r="K81" s="7">
        <v>742869140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-64519698</v>
      </c>
      <c r="K82" s="53">
        <f>K83-K84</f>
        <v>26384284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>
        <v>26384284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64519698</v>
      </c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573420568</v>
      </c>
      <c r="K100" s="53">
        <f>SUM(K101:K112)</f>
        <v>509951205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8595259</v>
      </c>
      <c r="K101" s="7">
        <v>1787064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34504845</v>
      </c>
      <c r="K102" s="7">
        <v>49928105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172500751</v>
      </c>
      <c r="K103" s="7">
        <v>138421464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161236087</v>
      </c>
      <c r="K105" s="7">
        <f>152211363+828193-47213</f>
        <v>152992343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68809887</v>
      </c>
      <c r="K106" s="7">
        <v>75760080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15424776</v>
      </c>
      <c r="K108" s="7">
        <v>15956421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75014037</v>
      </c>
      <c r="K109" s="7">
        <v>75105728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37334926</v>
      </c>
      <c r="K112" s="7"/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4873537</v>
      </c>
      <c r="K113" s="7">
        <v>4720505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108923292</v>
      </c>
      <c r="K114" s="53">
        <f>K69+K86+K90+K100+K113</f>
        <v>71685181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9">
      <selection activeCell="L35" sqref="L35"/>
    </sheetView>
  </sheetViews>
  <sheetFormatPr defaultColWidth="9.140625" defaultRowHeight="12.75"/>
  <cols>
    <col min="1" max="9" width="9.140625" style="52" customWidth="1"/>
    <col min="10" max="12" width="10.421875" style="52" bestFit="1" customWidth="1"/>
    <col min="13" max="13" width="10.1406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.7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221211818</v>
      </c>
      <c r="K7" s="54">
        <f>SUM(K8:K9)</f>
        <v>75019</v>
      </c>
      <c r="L7" s="54">
        <f>SUM(L8:L9)</f>
        <v>92000537</v>
      </c>
      <c r="M7" s="54">
        <f>SUM(M8:M9)</f>
        <v>91660235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349806</v>
      </c>
      <c r="K8" s="7"/>
      <c r="L8" s="7"/>
      <c r="M8" s="7"/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220862012</v>
      </c>
      <c r="K9" s="7">
        <f>+J9-220786993</f>
        <v>75019</v>
      </c>
      <c r="L9" s="7">
        <f>340302+150035+86247694+5262506</f>
        <v>92000537</v>
      </c>
      <c r="M9" s="7">
        <f>+L9-340302</f>
        <v>91660235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239733616</v>
      </c>
      <c r="K10" s="53">
        <f>K11+K12+K16+K20+K21+K22+K25+K26</f>
        <v>-26065655</v>
      </c>
      <c r="L10" s="53">
        <f>L11+L12+L16+L20+L21+L22+L25+L26</f>
        <v>76857406</v>
      </c>
      <c r="M10" s="53">
        <f>M11+M12+M16+M20+M21+M22+M25+M26</f>
        <v>75017433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322699</v>
      </c>
      <c r="K12" s="53">
        <f>SUM(K13:K15)</f>
        <v>1</v>
      </c>
      <c r="L12" s="53">
        <f>SUM(L13:L15)</f>
        <v>19402</v>
      </c>
      <c r="M12" s="53">
        <f>+L12-12373</f>
        <v>7029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/>
      <c r="K13" s="7"/>
      <c r="L13" s="7">
        <f>2287+5275</f>
        <v>7562</v>
      </c>
      <c r="M13" s="7">
        <f>+L13-2287</f>
        <v>5275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322699</v>
      </c>
      <c r="K14" s="7">
        <v>1</v>
      </c>
      <c r="L14" s="7">
        <v>11840</v>
      </c>
      <c r="M14" s="7">
        <v>0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/>
      <c r="K15" s="7"/>
      <c r="L15" s="7"/>
      <c r="M15" s="7"/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1738059</v>
      </c>
      <c r="K16" s="53">
        <f>SUM(K17:K19)</f>
        <v>544885</v>
      </c>
      <c r="L16" s="53">
        <f>SUM(L17:L19)</f>
        <v>648957</v>
      </c>
      <c r="M16" s="53">
        <f>SUM(M17:M19)</f>
        <v>47063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969685</v>
      </c>
      <c r="K17" s="7">
        <f>+J17-689337</f>
        <v>280348</v>
      </c>
      <c r="L17" s="7">
        <v>339444</v>
      </c>
      <c r="M17" s="7">
        <f>+L17-312906</f>
        <v>26538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528091</v>
      </c>
      <c r="K18" s="7">
        <f>+J18-335460</f>
        <v>192631</v>
      </c>
      <c r="L18" s="7">
        <f>561668-339444</f>
        <v>222224</v>
      </c>
      <c r="M18" s="7">
        <f>+L18-209571</f>
        <v>12653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240283</v>
      </c>
      <c r="K19" s="7">
        <f>+J19-168377</f>
        <v>71906</v>
      </c>
      <c r="L19" s="7">
        <v>87289</v>
      </c>
      <c r="M19" s="7">
        <f>+L19-79417</f>
        <v>7872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15620420</v>
      </c>
      <c r="K20" s="7">
        <f>+J20-12261282</f>
        <v>3359138</v>
      </c>
      <c r="L20" s="7"/>
      <c r="M20" s="7"/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162633115</v>
      </c>
      <c r="K21" s="7">
        <f>+J21-190159124</f>
        <v>-27526009</v>
      </c>
      <c r="L21" s="7">
        <f>1225706+50134+83024+12318+123433+74694432</f>
        <v>76189047</v>
      </c>
      <c r="M21" s="7">
        <f>+L21-1225706</f>
        <v>74963341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59419323</v>
      </c>
      <c r="K22" s="53">
        <f>SUM(K23:K24)</f>
        <v>-2443670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59419323</v>
      </c>
      <c r="K24" s="7">
        <f>+J24-61862993</f>
        <v>-2443670</v>
      </c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5148558</v>
      </c>
      <c r="K27" s="53">
        <f>SUM(K28:K32)</f>
        <v>-862576</v>
      </c>
      <c r="L27" s="53">
        <f>SUM(L28:L32)</f>
        <v>11255675</v>
      </c>
      <c r="M27" s="53">
        <f>SUM(M28:M32)</f>
        <v>11255556</v>
      </c>
    </row>
    <row r="28" spans="1:13" ht="21" customHeight="1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5148558</v>
      </c>
      <c r="K28" s="7">
        <f>+J28-5051725</f>
        <v>96833</v>
      </c>
      <c r="L28" s="7"/>
      <c r="M28" s="7"/>
    </row>
    <row r="29" spans="1:13" ht="29.25" customHeight="1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0</v>
      </c>
      <c r="K29" s="7">
        <f>+J29-959409</f>
        <v>-959409</v>
      </c>
      <c r="L29" s="7">
        <f>119+11255556</f>
        <v>11255675</v>
      </c>
      <c r="M29" s="7">
        <f>+L29-119</f>
        <v>11255556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45566956</v>
      </c>
      <c r="K33" s="53">
        <f>SUM(K34:K37)</f>
        <v>27384384</v>
      </c>
      <c r="L33" s="53">
        <f>SUM(L34:L37)</f>
        <v>14522</v>
      </c>
      <c r="M33" s="53">
        <f>SUM(M34:M37)</f>
        <v>0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915009</v>
      </c>
      <c r="K34" s="7">
        <f>+J34-571028</f>
        <v>343981</v>
      </c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44651947</v>
      </c>
      <c r="K35" s="7">
        <f>+J35-17611544</f>
        <v>27040403</v>
      </c>
      <c r="L35" s="7">
        <f>14522</f>
        <v>14522</v>
      </c>
      <c r="M35" s="7">
        <v>0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>
        <v>5579502</v>
      </c>
      <c r="K39" s="7">
        <v>0</v>
      </c>
      <c r="L39" s="7">
        <v>0</v>
      </c>
      <c r="M39" s="7">
        <v>0</v>
      </c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226360376</v>
      </c>
      <c r="K42" s="53">
        <f>K7+K27+K38+K40</f>
        <v>-787557</v>
      </c>
      <c r="L42" s="53">
        <f>L7+L27+L38+L40</f>
        <v>103256212</v>
      </c>
      <c r="M42" s="53">
        <f>M7+M27+M38+M40</f>
        <v>102915791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290880074</v>
      </c>
      <c r="K43" s="53">
        <f>K10+K33+K39+K41</f>
        <v>1318729</v>
      </c>
      <c r="L43" s="53">
        <f>L10+L33+L39+L41</f>
        <v>76871928</v>
      </c>
      <c r="M43" s="53">
        <f>M10+M33+M39+M41</f>
        <v>75017433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-64519698</v>
      </c>
      <c r="K44" s="53">
        <f>K42-K43</f>
        <v>-2106286</v>
      </c>
      <c r="L44" s="53">
        <f>L42-L43</f>
        <v>26384284</v>
      </c>
      <c r="M44" s="53">
        <f>M42-M43</f>
        <v>27898358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26384284</v>
      </c>
      <c r="M45" s="53">
        <f>IF(M42&gt;M43,M42-M43,0)</f>
        <v>27898358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64519698</v>
      </c>
      <c r="K46" s="53">
        <f>IF(K43&gt;K42,K43-K42,0)</f>
        <v>2106286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-64519698</v>
      </c>
      <c r="K48" s="53">
        <f>K44-K47</f>
        <v>-2106286</v>
      </c>
      <c r="L48" s="53">
        <f>L44-L47</f>
        <v>26384284</v>
      </c>
      <c r="M48" s="53">
        <f>M44-M47</f>
        <v>27898358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26384284</v>
      </c>
      <c r="M49" s="53">
        <f>IF(M48&gt;0,M48,0)</f>
        <v>27898358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64519698</v>
      </c>
      <c r="K50" s="61">
        <f>IF(K48&lt;0,-K48,0)</f>
        <v>2106286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12" sqref="K12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9.42187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-64519698</v>
      </c>
      <c r="K7" s="7">
        <v>26384284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15620420</v>
      </c>
      <c r="K8" s="7"/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42238739</v>
      </c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44894745</v>
      </c>
      <c r="K10" s="7">
        <v>9158085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1553774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/>
      <c r="K12" s="7">
        <v>76415434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39787980</v>
      </c>
      <c r="K13" s="53">
        <f>SUM(K7:K12)</f>
        <v>111957803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>
        <v>63469363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48491163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81695211</v>
      </c>
      <c r="K17" s="7"/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81695211</v>
      </c>
      <c r="K18" s="53">
        <f>SUM(K14:K17)</f>
        <v>111960526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41907231</v>
      </c>
      <c r="K20" s="53">
        <f>IF(K18&gt;K13,K18-K13,0)</f>
        <v>2723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41682044</v>
      </c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41682044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41682044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53">
        <f>IF(J20-J19+J33-J32+J46-J45&gt;0,J20-J19+J33-J32+J46-J45,0)</f>
        <v>225187</v>
      </c>
      <c r="K48" s="53">
        <f>IF(K20-K19+K33-K32+K46-K45&gt;0,K20-K19+K33-K32+K46-K45,0)</f>
        <v>2723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225840</v>
      </c>
      <c r="K49" s="7">
        <v>653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/>
      <c r="K50" s="7">
        <f>3376-K49</f>
        <v>2723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225187</v>
      </c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1">
        <f>J49+J50-J51</f>
        <v>653</v>
      </c>
      <c r="K52" s="61">
        <f>K49+K50-K51</f>
        <v>3376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">
      <c r="A2" s="42"/>
      <c r="B2" s="74"/>
      <c r="C2" s="284" t="s">
        <v>282</v>
      </c>
      <c r="D2" s="284"/>
      <c r="E2" s="77">
        <v>40909</v>
      </c>
      <c r="F2" s="43" t="s">
        <v>250</v>
      </c>
      <c r="G2" s="285">
        <v>41639</v>
      </c>
      <c r="H2" s="286"/>
      <c r="I2" s="74"/>
      <c r="J2" s="74"/>
      <c r="K2" s="74"/>
      <c r="L2" s="78"/>
    </row>
    <row r="3" spans="1:11" ht="21.7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67748710</v>
      </c>
      <c r="K5" s="45">
        <v>67748710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205749617</v>
      </c>
      <c r="K6" s="46">
        <v>205749617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-678349442</v>
      </c>
      <c r="K8" s="46">
        <f>+J8+J9</f>
        <v>-742869140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-64519698</v>
      </c>
      <c r="K9" s="46">
        <v>26384284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0</v>
      </c>
      <c r="K10" s="46">
        <v>0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-469370813</v>
      </c>
      <c r="K14" s="79">
        <f>SUM(K5:K13)</f>
        <v>-442986529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Tamara Leboš</cp:lastModifiedBy>
  <cp:lastPrinted>2011-03-28T11:17:39Z</cp:lastPrinted>
  <dcterms:created xsi:type="dcterms:W3CDTF">2008-10-17T11:51:54Z</dcterms:created>
  <dcterms:modified xsi:type="dcterms:W3CDTF">2014-03-21T10:00:21Z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