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6"/>
  </bookViews>
  <sheets>
    <sheet name="OPĆI PODACI" sheetId="1" r:id="rId1"/>
    <sheet name="Bilanca" sheetId="2" r:id="rId2"/>
    <sheet name="RDG" sheetId="3" r:id="rId3"/>
    <sheet name="NT_D" sheetId="4" state="hidden" r:id="rId4"/>
    <sheet name="PK" sheetId="5" r:id="rId5"/>
    <sheet name="NT_I" sheetId="6" r:id="rId6"/>
    <sheet name="Bilješke" sheetId="7" r:id="rId7"/>
  </sheets>
  <definedNames>
    <definedName name="_xlnm.Print_Area" localSheetId="6">'Bilješke'!$A$1:$A$47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<sst xmlns="http://schemas.openxmlformats.org/spreadsheetml/2006/main" count="437" uniqueCount="387">
  <si>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</si>
  <si>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</si>
  <si>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</si>
  <si>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</si>
  <si>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</si>
  <si>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</si>
  <si>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</si>
  <si>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</si>
  <si>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</si>
  <si>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</si>
  <si>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</si>
  <si>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</si>
  <si>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</si>
  <si>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</si>
  <si>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</si>
  <si>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</si>
  <si>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</si>
  <si>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</si>
  <si>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</si>
  <si>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</si>
  <si>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</si>
  <si>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</si>
  <si>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</si>
  <si>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</si>
  <si>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</si>
  <si>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</si>
  <si>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</si>
  <si>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</si>
  <si>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</si>
  <si>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</si>
  <si>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</si>
  <si>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</si>
  <si>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</si>
  <si>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</si>
  <si>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</si>
  <si>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</si>
  <si>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</si>
  <si>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</si>
  <si>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</si>
  <si>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</si>
  <si>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</si>
  <si>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</si>
  <si>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</si>
  <si>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</si>
  <si>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</si>
  <si>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</si>
  <si>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</si>
  <si>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</si>
  <si>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</si>
  <si>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</si>
  <si>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</si>
  <si>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</si>
  <si>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</si>
  <si>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</si>
  <si>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</si>
  <si>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</si>
  <si>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</si>
  <si>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</si>
  <si>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</si>
  <si>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</si>
  <si>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</si>
  <si>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</si>
  <si>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</si>
  <si>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</si>
  <si>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</si>
  <si>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</si>
  <si>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</si>
  <si>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</si>
  <si>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</si>
  <si>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</si>
  <si>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</si>
  <si>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</si>
  <si>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</si>
  <si>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</si>
  <si>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</si>
  <si>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</si>
  <si>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</si>
  <si>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</si>
  <si>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</si>
  <si>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</si>
  <si>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</si>
  <si>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</si>
  <si>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</si>
  <si>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</si>
  <si>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</si>
  <si>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</si>
  <si>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</si>
  <si>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</si>
  <si>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</si>
  <si>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</si>
  <si>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</si>
  <si>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</si>
  <si>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</si>
  <si>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</si>
  <si>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</si>
  <si>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</si>
  <si>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</si>
  <si>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</si>
  <si>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</si>
  <si>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</si>
  <si>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</si>
  <si>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</si>
  <si>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</si>
  <si>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</si>
  <si>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</si>
  <si>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</si>
  <si>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</si>
  <si>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</si>
  <si>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</si>
  <si>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</si>
  <si>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</si>
  <si>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</si>
  <si>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</si>
  <si>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</si>
  <si>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</si>
  <si>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</si>
  <si>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</si>
  <si>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</si>
  <si>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</si>
  <si>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</si>
  <si>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</si>
  <si>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</si>
  <si>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</si>
  <si>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</si>
  <si>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</si>
  <si>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</si>
  <si>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</si>
  <si>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</si>
  <si>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</si>
  <si>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</si>
  <si>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</si>
  <si>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</si>
  <si>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</si>
  <si>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</si>
  <si>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</si>
  <si>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</si>
  <si>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</si>
  <si>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</si>
  <si>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</si>
  <si>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</si>
  <si>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</si>
  <si>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</si>
  <si>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</si>
  <si>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</si>
  <si>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</si>
  <si>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</si>
  <si>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</si>
  <si>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</si>
  <si>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</si>
  <si>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</si>
  <si>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</si>
  <si>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</si>
  <si>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</si>
  <si>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</si>
  <si>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</si>
  <si>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</si>
  <si>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</si>
  <si>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</si>
  <si>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</si>
  <si>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</si>
  <si>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</si>
  <si>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</si>
  <si>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</si>
  <si>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</si>
  <si>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</si>
  <si>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</si>
  <si>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</si>
  <si>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</si>
  <si>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</si>
  <si>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</si>
  <si>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</si>
  <si>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</si>
  <si>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</si>
  <si>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</si>
  <si>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</si>
  <si>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</si>
  <si>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</si>
  <si>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</si>
  <si>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</si>
  <si>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</si>
  <si>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</si>
  <si>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</si>
  <si>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</si>
  <si>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</si>
  <si>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</si>
  <si>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</si>
  <si>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</si>
  <si>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</si>
  <si>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</si>
  <si>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</si>
  <si>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</si>
  <si>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</si>
  <si>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</si>
  <si>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</si>
  <si>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</si>
  <si>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</si>
  <si>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</si>
  <si>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</si>
  <si>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</si>
  <si>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</si>
  <si>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</si>
  <si>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</si>
  <si>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</si>
  <si>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</si>
  <si>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</si>
  <si>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</si>
  <si>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</si>
  <si>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</si>
  <si>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</si>
  <si>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</si>
  <si>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</si>
  <si>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</si>
  <si>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</si>
  <si>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</si>
  <si>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</si>
  <si>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</si>
  <si>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</si>
  <si>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</si>
  <si>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</si>
  <si>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</si>
  <si>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</si>
  <si>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</si>
  <si>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</si>
  <si>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</si>
  <si>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</si>
  <si>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</si>
  <si>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</si>
  <si>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</si>
  <si>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</si>
  <si>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</si>
  <si>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</si>
  <si>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</si>
  <si>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</si>
  <si>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</si>
  <si>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</si>
  <si>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</si>
  <si>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</si>
  <si>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</si>
  <si>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</si>
  <si>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</si>
  <si>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</si>
  <si>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</si>
  <si>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</si>
  <si>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</si>
  <si>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</si>
  <si>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</si>
  <si>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</si>
  <si>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</si>
  <si>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</si>
  <si>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</si>
  <si>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</si>
  <si>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</si>
  <si>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</si>
  <si>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</si>
  <si>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</si>
  <si>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</si>
  <si>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</si>
  <si>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</si>
  <si>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</si>
  <si>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</si>
  <si>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</si>
  <si>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</si>
  <si>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</si>
  <si>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</si>
  <si>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</si>
  <si>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</si>
  <si>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</si>
  <si>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</si>
  <si>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</si>
  <si>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</si>
  <si>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</si>
  <si>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</si>
  <si>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</si>
  <si>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</si>
  <si>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</si>
  <si>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</si>
  <si>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</si>
  <si>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</si>
  <si>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</si>
  <si>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</si>
  <si>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</si>
  <si>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</si>
  <si>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</si>
  <si>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</si>
  <si>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</si>
  <si>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</si>
  <si>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</si>
  <si>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</si>
  <si>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</si>
  <si>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</si>
  <si>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</si>
  <si>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</si>
  <si>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</si>
  <si>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</si>
  <si>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</si>
  <si>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</si>
  <si>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</si>
  <si>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</si>
  <si>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</si>
  <si>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</si>
  <si>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</si>
  <si>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</si>
  <si>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</si>
  <si>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</si>
  <si>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</si>
  <si>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</si>
  <si>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</si>
  <si>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</si>
  <si>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</si>
  <si>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</si>
  <si>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</si>
  <si>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</si>
  <si>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</si>
  <si>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</si>
  <si>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</si>
  <si>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</si>
  <si>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</si>
  <si>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</si>
  <si>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</si>
  <si>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>01.01.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</si>
  <si>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</si>
  <si>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</si>
  <si>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</si>
  <si>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</si>
  <si>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</si>
  <si>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</si>
  <si>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</si>
  <si>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</si>
  <si>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</si>
  <si>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1051</t>
  </si>
  <si>
    <t>01/2392 267</t>
  </si>
  <si>
    <t>THIERRY ANDRE ZURCHER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</si>
  <si>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</si>
  <si>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</si>
  <si>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</si>
  <si>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</si>
  <si>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</si>
  <si>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U izvještajnom razdoblju bilo je manjeg trgovanja dionicama DUKAT-a.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</si>
  <si>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</si>
  <si>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</si>
  <si>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</si>
  <si>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</si>
  <si>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</si>
  <si>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</si>
  <si>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</si>
  <si>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</si>
  <si>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</si>
  <si>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</si>
  <si>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</si>
  <si>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</si>
  <si>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</si>
  <si>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</si>
  <si>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</si>
  <si>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</si>
  <si>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</si>
  <si>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</si>
  <si>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Prethodno razdoblje 31.12.2012.</t>
  </si>
  <si>
    <t>Prethodna godina               1.1.-31.12.2012.</t>
  </si>
  <si>
    <t>biserka.klaric@dukat.hr</t>
  </si>
  <si>
    <t>BISERKA KLARIĆ</t>
  </si>
  <si>
    <t>01/239 2194</t>
  </si>
  <si>
    <t>1. Financijski izvjštaji ( bilanca, račun dobiti i gubitka, izvještaj o novčanom tijeku, izvještaj o promjenama</t>
  </si>
  <si>
    <t>31.12.2013.</t>
  </si>
  <si>
    <t>stanje na dan 31.12.2013.</t>
  </si>
  <si>
    <t>Tekuće razdoblje 31.12.2013.</t>
  </si>
  <si>
    <t>u razdoblju 01.01.2013. do 31.12.2013.</t>
  </si>
  <si>
    <t>Tekuće razdoblje                              1.1.2013.-31.12.2013.</t>
  </si>
  <si>
    <t>Tekuća godina 1.1.-31.12.2013.</t>
  </si>
  <si>
    <t>Prethodno razdoblje                        1.1.2012.-31.12.2012.</t>
  </si>
  <si>
    <t>Prethodno razdoblje          1.1.-31.12.2012.</t>
  </si>
  <si>
    <t>Tekuće razdoblje         1.1.-31.12.2013.</t>
  </si>
  <si>
    <t>Dukat d.d. je u izvještajnom razdoblju stekao 100 % udio Ljubljanskih mlekarni d.d. Slovenija.</t>
  </si>
  <si>
    <t>Dukat d.d. je u srpnju osnovao novo povezano društvo u Bugarskoj sa 100 % vlasničkog udjela.</t>
  </si>
  <si>
    <t xml:space="preserve">Financijski prihodi kumulativno i u tromjesečju u izvještajnom razdoblju viši su u odnosu na isto razdoblje </t>
  </si>
  <si>
    <t>dobiti iz poveznih društava.</t>
  </si>
  <si>
    <t>Poslovni prihodi u odnosu na isto razdoblje prošle godine manji su kumulativno za 9,1 % a u tromjesečju za 7,0%.</t>
  </si>
  <si>
    <t>Poslovni rashodi u odnosu na isto razdoblje prošle godine manji su kumulativno za 3,1 % a u tromjesečju za 4,5 %.</t>
  </si>
  <si>
    <t xml:space="preserve">Poslovni rashodi manji su u odnosu na isto razdoblje prošle godine za 3,1%.                                                                                </t>
  </si>
  <si>
    <t>razdoblje prošle godine. Najvećim dijelom radi se o potraživanjima od kupaca koja su u stečaju.</t>
  </si>
  <si>
    <t>prošle godine. Kumulatino su viši za 21,1 mil kuna, a u tromjesečju za 33,9 mil kn. Radi se o povučenoj</t>
  </si>
  <si>
    <t xml:space="preserve">U izvještajnom razdoblju vrijednosno usklađenje kratkotrajne imovine poraslo je za 16,1 mil kn u odnosu na isto </t>
  </si>
  <si>
    <t>Zarada po dionici ostvarena je u tromjesečju u svoti -2,26 kn i kumulativno u svoti od 0,45 kuna.</t>
  </si>
  <si>
    <t>Financijski rashodi (kamate i tečajne razlike) u izvještajnom razdoblju u odnosu na isto razdoblje prošle</t>
  </si>
  <si>
    <t>godine su veći kumulativno za 38,5 mil kuna i u tromjesečju za 34,6 mil kuna.</t>
  </si>
  <si>
    <t xml:space="preserve">Ostvarena neto dobit manja je u odnosu na isto razdoblje prošle godine za 74 mil kn. </t>
  </si>
  <si>
    <t>U tromjesečju ostarena neto dobit niža je u odnosu na isto razdoblje prošle godine za 19,8 mil kn.</t>
  </si>
  <si>
    <t>Iznos od 34,1 mil kuna je trošak ispravka udjela.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</si>
</sst>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,"/>
    <numFmt numFmtId="195" formatCode="0.0%"/>
    <numFmt numFmtId="196" formatCode="#,##0.000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10" fontId="1" fillId="0" borderId="0" xfId="0" applyNumberFormat="1" applyFont="1" applyFill="1" applyBorder="1" applyAlignment="1" applyProtection="1">
      <alignment vertical="center"/>
      <protection hidden="1"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3" fillId="0" borderId="0" xfId="52" applyNumberFormat="1" applyFont="1" applyAlignment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51" applyFont="1" applyFill="1" applyBorder="1" applyAlignment="1">
      <alignment horizontal="left" vertical="top"/>
      <protection/>
    </xf>
    <xf numFmtId="0" fontId="19" fillId="0" borderId="0" xfId="57" applyFont="1" applyFill="1" applyAlignment="1">
      <alignment/>
      <protection/>
    </xf>
    <xf numFmtId="0" fontId="0" fillId="0" borderId="0" xfId="0" applyFont="1" applyAlignment="1">
      <alignment/>
    </xf>
    <xf numFmtId="0" fontId="19" fillId="0" borderId="0" xfId="57" applyFont="1">
      <alignment vertical="top"/>
      <protection/>
    </xf>
    <xf numFmtId="0" fontId="19" fillId="0" borderId="0" xfId="57" applyFont="1" applyAlignment="1">
      <alignment/>
      <protection/>
    </xf>
    <xf numFmtId="0" fontId="37" fillId="0" borderId="0" xfId="57" applyFont="1" applyAlignment="1">
      <alignment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0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>
      <alignment horizontal="center" vertical="top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FIN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serka.klaric@dukat.hr" TargetMode="External" /><Relationship Id="rId2" Type="http://schemas.openxmlformats.org/officeDocument/2006/relationships/hyperlink" Target="mailto:biserka.klaric@duka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9" width="12.7109375" style="11" customWidth="1"/>
    <col min="10" max="16384" width="9.140625" style="11" customWidth="1"/>
  </cols>
  <sheetData>
    <row r="1" spans="1:12" ht="15.75">
      <c r="A1" s="157" t="s">
        <v>246</v>
      </c>
      <c r="B1" s="147"/>
      <c r="C1" s="14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1" t="s">
        <v>247</v>
      </c>
      <c r="B2" s="202"/>
      <c r="C2" s="202"/>
      <c r="D2" s="203"/>
      <c r="E2" s="116" t="s">
        <v>319</v>
      </c>
      <c r="F2" s="12"/>
      <c r="G2" s="13" t="s">
        <v>248</v>
      </c>
      <c r="H2" s="116" t="s">
        <v>362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.75">
      <c r="A4" s="204" t="s">
        <v>312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72" t="s">
        <v>249</v>
      </c>
      <c r="B6" s="173"/>
      <c r="C6" s="158" t="s">
        <v>320</v>
      </c>
      <c r="D6" s="153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7" t="s">
        <v>250</v>
      </c>
      <c r="B8" s="208"/>
      <c r="C8" s="158" t="s">
        <v>321</v>
      </c>
      <c r="D8" s="153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67" t="s">
        <v>251</v>
      </c>
      <c r="B10" s="199"/>
      <c r="C10" s="158" t="s">
        <v>322</v>
      </c>
      <c r="D10" s="153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72" t="s">
        <v>252</v>
      </c>
      <c r="B12" s="173"/>
      <c r="C12" s="154" t="s">
        <v>323</v>
      </c>
      <c r="D12" s="195"/>
      <c r="E12" s="195"/>
      <c r="F12" s="195"/>
      <c r="G12" s="195"/>
      <c r="H12" s="195"/>
      <c r="I12" s="175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72" t="s">
        <v>253</v>
      </c>
      <c r="B14" s="173"/>
      <c r="C14" s="197">
        <v>10000</v>
      </c>
      <c r="D14" s="198"/>
      <c r="E14" s="16"/>
      <c r="F14" s="154" t="s">
        <v>324</v>
      </c>
      <c r="G14" s="195"/>
      <c r="H14" s="195"/>
      <c r="I14" s="175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72" t="s">
        <v>254</v>
      </c>
      <c r="B16" s="173"/>
      <c r="C16" s="154" t="s">
        <v>325</v>
      </c>
      <c r="D16" s="195"/>
      <c r="E16" s="195"/>
      <c r="F16" s="195"/>
      <c r="G16" s="195"/>
      <c r="H16" s="195"/>
      <c r="I16" s="175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72" t="s">
        <v>255</v>
      </c>
      <c r="B18" s="173"/>
      <c r="C18" s="196" t="s">
        <v>358</v>
      </c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72" t="s">
        <v>256</v>
      </c>
      <c r="B20" s="173"/>
      <c r="C20" s="191" t="s">
        <v>326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72" t="s">
        <v>257</v>
      </c>
      <c r="B22" s="173"/>
      <c r="C22" s="117">
        <v>133</v>
      </c>
      <c r="D22" s="154" t="s">
        <v>324</v>
      </c>
      <c r="E22" s="188"/>
      <c r="F22" s="189"/>
      <c r="G22" s="172"/>
      <c r="H22" s="19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72" t="s">
        <v>258</v>
      </c>
      <c r="B24" s="173"/>
      <c r="C24" s="117">
        <v>21</v>
      </c>
      <c r="D24" s="154" t="s">
        <v>327</v>
      </c>
      <c r="E24" s="188"/>
      <c r="F24" s="188"/>
      <c r="G24" s="189"/>
      <c r="H24" s="48" t="s">
        <v>259</v>
      </c>
      <c r="I24" s="124">
        <v>1161</v>
      </c>
      <c r="J24" s="137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313</v>
      </c>
      <c r="I25" s="94"/>
      <c r="J25" s="10"/>
      <c r="K25" s="10"/>
      <c r="L25" s="10"/>
    </row>
    <row r="26" spans="1:12" ht="12.75">
      <c r="A26" s="172" t="s">
        <v>260</v>
      </c>
      <c r="B26" s="173"/>
      <c r="C26" s="118" t="s">
        <v>328</v>
      </c>
      <c r="D26" s="25"/>
      <c r="E26" s="33"/>
      <c r="F26" s="24"/>
      <c r="G26" s="190" t="s">
        <v>261</v>
      </c>
      <c r="H26" s="173"/>
      <c r="I26" s="119" t="s">
        <v>329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1" t="s">
        <v>262</v>
      </c>
      <c r="B28" s="182"/>
      <c r="C28" s="183"/>
      <c r="D28" s="183"/>
      <c r="E28" s="184" t="s">
        <v>263</v>
      </c>
      <c r="F28" s="185"/>
      <c r="G28" s="185"/>
      <c r="H28" s="186" t="s">
        <v>264</v>
      </c>
      <c r="I28" s="187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46"/>
      <c r="B30" s="155"/>
      <c r="C30" s="155"/>
      <c r="D30" s="156"/>
      <c r="E30" s="146"/>
      <c r="F30" s="155"/>
      <c r="G30" s="155"/>
      <c r="H30" s="158"/>
      <c r="I30" s="153"/>
      <c r="J30" s="10"/>
      <c r="K30" s="10"/>
      <c r="L30" s="10"/>
    </row>
    <row r="31" spans="1:12" ht="12.75">
      <c r="A31" s="90"/>
      <c r="B31" s="22"/>
      <c r="C31" s="21"/>
      <c r="D31" s="179"/>
      <c r="E31" s="179"/>
      <c r="F31" s="179"/>
      <c r="G31" s="180"/>
      <c r="H31" s="16"/>
      <c r="I31" s="97"/>
      <c r="J31" s="10"/>
      <c r="K31" s="10"/>
      <c r="L31" s="10"/>
    </row>
    <row r="32" spans="1:12" ht="12.75">
      <c r="A32" s="146"/>
      <c r="B32" s="155"/>
      <c r="C32" s="155"/>
      <c r="D32" s="156"/>
      <c r="E32" s="146"/>
      <c r="F32" s="155"/>
      <c r="G32" s="155"/>
      <c r="H32" s="158"/>
      <c r="I32" s="153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46"/>
      <c r="B34" s="155"/>
      <c r="C34" s="155"/>
      <c r="D34" s="156"/>
      <c r="E34" s="146"/>
      <c r="F34" s="155"/>
      <c r="G34" s="155"/>
      <c r="H34" s="158"/>
      <c r="I34" s="153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46"/>
      <c r="B36" s="155"/>
      <c r="C36" s="155"/>
      <c r="D36" s="156"/>
      <c r="E36" s="146"/>
      <c r="F36" s="155"/>
      <c r="G36" s="155"/>
      <c r="H36" s="158"/>
      <c r="I36" s="153"/>
      <c r="J36" s="10"/>
      <c r="K36" s="10"/>
      <c r="L36" s="10"/>
    </row>
    <row r="37" spans="1:12" ht="12.75">
      <c r="A37" s="99"/>
      <c r="B37" s="30"/>
      <c r="C37" s="148"/>
      <c r="D37" s="149"/>
      <c r="E37" s="16"/>
      <c r="F37" s="148"/>
      <c r="G37" s="149"/>
      <c r="H37" s="16"/>
      <c r="I37" s="91"/>
      <c r="J37" s="10"/>
      <c r="K37" s="10"/>
      <c r="L37" s="10"/>
    </row>
    <row r="38" spans="1:12" ht="12.75">
      <c r="A38" s="146"/>
      <c r="B38" s="155"/>
      <c r="C38" s="155"/>
      <c r="D38" s="156"/>
      <c r="E38" s="146"/>
      <c r="F38" s="155"/>
      <c r="G38" s="155"/>
      <c r="H38" s="158"/>
      <c r="I38" s="153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46"/>
      <c r="B40" s="155"/>
      <c r="C40" s="155"/>
      <c r="D40" s="156"/>
      <c r="E40" s="146"/>
      <c r="F40" s="155"/>
      <c r="G40" s="155"/>
      <c r="H40" s="158"/>
      <c r="I40" s="153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67" t="s">
        <v>265</v>
      </c>
      <c r="B44" s="168"/>
      <c r="C44" s="158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99"/>
      <c r="B45" s="30"/>
      <c r="C45" s="148"/>
      <c r="D45" s="149"/>
      <c r="E45" s="16"/>
      <c r="F45" s="148"/>
      <c r="G45" s="150"/>
      <c r="H45" s="35"/>
      <c r="I45" s="103"/>
      <c r="J45" s="10"/>
      <c r="K45" s="10"/>
      <c r="L45" s="10"/>
    </row>
    <row r="46" spans="1:12" ht="12.75">
      <c r="A46" s="167" t="s">
        <v>266</v>
      </c>
      <c r="B46" s="168"/>
      <c r="C46" s="154" t="s">
        <v>359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.75">
      <c r="A47" s="90"/>
      <c r="B47" s="22"/>
      <c r="C47" s="21" t="s">
        <v>267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67" t="s">
        <v>268</v>
      </c>
      <c r="B48" s="168"/>
      <c r="C48" s="174" t="s">
        <v>360</v>
      </c>
      <c r="D48" s="170"/>
      <c r="E48" s="171"/>
      <c r="F48" s="16"/>
      <c r="G48" s="48" t="s">
        <v>269</v>
      </c>
      <c r="H48" s="174" t="s">
        <v>330</v>
      </c>
      <c r="I48" s="171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67" t="s">
        <v>255</v>
      </c>
      <c r="B50" s="168"/>
      <c r="C50" s="169" t="s">
        <v>358</v>
      </c>
      <c r="D50" s="170"/>
      <c r="E50" s="170"/>
      <c r="F50" s="170"/>
      <c r="G50" s="170"/>
      <c r="H50" s="170"/>
      <c r="I50" s="171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72" t="s">
        <v>270</v>
      </c>
      <c r="B52" s="173"/>
      <c r="C52" s="174" t="s">
        <v>331</v>
      </c>
      <c r="D52" s="170"/>
      <c r="E52" s="170"/>
      <c r="F52" s="170"/>
      <c r="G52" s="170"/>
      <c r="H52" s="170"/>
      <c r="I52" s="175"/>
      <c r="J52" s="10"/>
      <c r="K52" s="10"/>
      <c r="L52" s="10"/>
    </row>
    <row r="53" spans="1:12" ht="12.75">
      <c r="A53" s="104"/>
      <c r="B53" s="20"/>
      <c r="C53" s="161" t="s">
        <v>271</v>
      </c>
      <c r="D53" s="161"/>
      <c r="E53" s="161"/>
      <c r="F53" s="161"/>
      <c r="G53" s="161"/>
      <c r="H53" s="161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76" t="s">
        <v>272</v>
      </c>
      <c r="C55" s="177"/>
      <c r="D55" s="177"/>
      <c r="E55" s="177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78" t="s">
        <v>361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04"/>
      <c r="B57" s="178" t="s">
        <v>303</v>
      </c>
      <c r="C57" s="159"/>
      <c r="D57" s="159"/>
      <c r="E57" s="159"/>
      <c r="F57" s="159"/>
      <c r="G57" s="159"/>
      <c r="H57" s="159"/>
      <c r="I57" s="106"/>
      <c r="J57" s="10"/>
      <c r="K57" s="10"/>
      <c r="L57" s="10"/>
    </row>
    <row r="58" spans="1:12" ht="12.75">
      <c r="A58" s="104"/>
      <c r="B58" s="178" t="s">
        <v>304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04"/>
      <c r="B59" s="178" t="s">
        <v>305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273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274</v>
      </c>
      <c r="F62" s="33"/>
      <c r="G62" s="162" t="s">
        <v>275</v>
      </c>
      <c r="H62" s="163"/>
      <c r="I62" s="164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65"/>
      <c r="H63" s="166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iserka.klaric@dukat.hr"/>
    <hyperlink ref="C50" r:id="rId2" display="biserka.klaric@dukat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3">
      <pane ySplit="3" topLeftCell="BM63" activePane="bottomLeft" state="frozen"/>
      <selection pane="topLeft" activeCell="A3" sqref="A3"/>
      <selection pane="bottomLeft" activeCell="J83" sqref="J83"/>
    </sheetView>
  </sheetViews>
  <sheetFormatPr defaultColWidth="9.140625" defaultRowHeight="12.75"/>
  <cols>
    <col min="1" max="8" width="8.7109375" style="49" customWidth="1"/>
    <col min="9" max="9" width="5.7109375" style="49" customWidth="1"/>
    <col min="10" max="11" width="12.7109375" style="49" customWidth="1"/>
    <col min="12" max="12" width="12.7109375" style="49" bestFit="1" customWidth="1"/>
    <col min="13" max="13" width="13.421875" style="49" bestFit="1" customWidth="1"/>
    <col min="14" max="16384" width="9.140625" style="49" customWidth="1"/>
  </cols>
  <sheetData>
    <row r="1" spans="1:11" ht="12.75" customHeight="1">
      <c r="A1" s="209" t="s">
        <v>151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363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318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33.75">
      <c r="A4" s="214" t="s">
        <v>59</v>
      </c>
      <c r="B4" s="215"/>
      <c r="C4" s="215"/>
      <c r="D4" s="215"/>
      <c r="E4" s="215"/>
      <c r="F4" s="215"/>
      <c r="G4" s="215"/>
      <c r="H4" s="216"/>
      <c r="I4" s="54" t="s">
        <v>276</v>
      </c>
      <c r="J4" s="55" t="s">
        <v>356</v>
      </c>
      <c r="K4" s="56" t="s">
        <v>364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3">
        <v>2</v>
      </c>
      <c r="J5" s="52">
        <v>3</v>
      </c>
      <c r="K5" s="52">
        <v>4</v>
      </c>
    </row>
    <row r="6" spans="1:11" ht="12.75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.75">
      <c r="A7" s="221" t="s">
        <v>60</v>
      </c>
      <c r="B7" s="222"/>
      <c r="C7" s="222"/>
      <c r="D7" s="222"/>
      <c r="E7" s="222"/>
      <c r="F7" s="222"/>
      <c r="G7" s="222"/>
      <c r="H7" s="223"/>
      <c r="I7" s="3">
        <v>1</v>
      </c>
      <c r="J7" s="6"/>
      <c r="K7" s="6"/>
    </row>
    <row r="8" spans="1:13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126">
        <f>J9+J16+J26+J35+J39</f>
        <v>911131072</v>
      </c>
      <c r="K8" s="126">
        <f>K9+K16+K26+K35+K39</f>
        <v>1187504518.66</v>
      </c>
      <c r="L8" s="123"/>
      <c r="M8" s="123"/>
    </row>
    <row r="9" spans="1:13" ht="12.75">
      <c r="A9" s="227" t="s">
        <v>203</v>
      </c>
      <c r="B9" s="228"/>
      <c r="C9" s="228"/>
      <c r="D9" s="228"/>
      <c r="E9" s="228"/>
      <c r="F9" s="228"/>
      <c r="G9" s="228"/>
      <c r="H9" s="229"/>
      <c r="I9" s="1">
        <v>3</v>
      </c>
      <c r="J9" s="126">
        <f>SUM(J10:J15)</f>
        <v>1653469</v>
      </c>
      <c r="K9" s="126">
        <f>SUM(K10:K15)</f>
        <v>2135615.8600000027</v>
      </c>
      <c r="L9" s="123"/>
      <c r="M9" s="123"/>
    </row>
    <row r="10" spans="1:13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/>
      <c r="L10" s="123"/>
      <c r="M10" s="123"/>
    </row>
    <row r="11" spans="1:13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1369883</v>
      </c>
      <c r="K11" s="7">
        <v>1860436.8800000027</v>
      </c>
      <c r="L11" s="123"/>
      <c r="M11" s="123"/>
    </row>
    <row r="12" spans="1:13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  <c r="L12" s="123"/>
      <c r="M12" s="123"/>
    </row>
    <row r="13" spans="1:13" ht="12.75">
      <c r="A13" s="227" t="s">
        <v>206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  <c r="L13" s="123"/>
      <c r="M13" s="123"/>
    </row>
    <row r="14" spans="1:13" ht="12.75">
      <c r="A14" s="227" t="s">
        <v>207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283586</v>
      </c>
      <c r="K14" s="7">
        <v>275178.98</v>
      </c>
      <c r="L14" s="123"/>
      <c r="M14" s="123"/>
    </row>
    <row r="15" spans="1:13" ht="12.75">
      <c r="A15" s="227" t="s">
        <v>208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  <c r="L15" s="123"/>
      <c r="M15" s="123"/>
    </row>
    <row r="16" spans="1:13" ht="12.75">
      <c r="A16" s="227" t="s">
        <v>204</v>
      </c>
      <c r="B16" s="228"/>
      <c r="C16" s="228"/>
      <c r="D16" s="228"/>
      <c r="E16" s="228"/>
      <c r="F16" s="228"/>
      <c r="G16" s="228"/>
      <c r="H16" s="229"/>
      <c r="I16" s="1">
        <v>10</v>
      </c>
      <c r="J16" s="126">
        <f>SUM(J17:J25)</f>
        <v>327685739</v>
      </c>
      <c r="K16" s="126">
        <f>SUM(K17:K25)</f>
        <v>309685405.6100001</v>
      </c>
      <c r="L16" s="123"/>
      <c r="M16" s="123"/>
    </row>
    <row r="17" spans="1:13" ht="12.75">
      <c r="A17" s="227" t="s">
        <v>209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14172059</v>
      </c>
      <c r="K17" s="7">
        <v>14172058.81</v>
      </c>
      <c r="L17" s="123"/>
      <c r="M17" s="123"/>
    </row>
    <row r="18" spans="1:13" ht="12.75">
      <c r="A18" s="227" t="s">
        <v>245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169930623</v>
      </c>
      <c r="K18" s="7">
        <v>167141362.21</v>
      </c>
      <c r="L18" s="123"/>
      <c r="M18" s="123"/>
    </row>
    <row r="19" spans="1:13" ht="12.75">
      <c r="A19" s="227" t="s">
        <v>210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105360289</v>
      </c>
      <c r="K19" s="7">
        <v>100742131.33000009</v>
      </c>
      <c r="L19" s="123"/>
      <c r="M19" s="123"/>
    </row>
    <row r="20" spans="1:13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32046600</v>
      </c>
      <c r="K20" s="7">
        <v>16088529.97000001</v>
      </c>
      <c r="L20" s="123"/>
      <c r="M20" s="123"/>
    </row>
    <row r="21" spans="1:13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  <c r="L21" s="123"/>
      <c r="M21" s="123"/>
    </row>
    <row r="22" spans="1:13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/>
      <c r="K22" s="7">
        <v>458237.33</v>
      </c>
      <c r="L22" s="123"/>
      <c r="M22" s="123"/>
    </row>
    <row r="23" spans="1:13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5236195</v>
      </c>
      <c r="K23" s="7">
        <v>10148641.9</v>
      </c>
      <c r="L23" s="123"/>
      <c r="M23" s="123"/>
    </row>
    <row r="24" spans="1:13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761498</v>
      </c>
      <c r="K24" s="7">
        <v>761497.55</v>
      </c>
      <c r="L24" s="123"/>
      <c r="M24" s="123"/>
    </row>
    <row r="25" spans="1:13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178475</v>
      </c>
      <c r="K25" s="7">
        <v>172946.50999999995</v>
      </c>
      <c r="L25" s="123"/>
      <c r="M25" s="123"/>
    </row>
    <row r="26" spans="1:13" ht="12.75">
      <c r="A26" s="227" t="s">
        <v>188</v>
      </c>
      <c r="B26" s="228"/>
      <c r="C26" s="228"/>
      <c r="D26" s="228"/>
      <c r="E26" s="228"/>
      <c r="F26" s="228"/>
      <c r="G26" s="228"/>
      <c r="H26" s="229"/>
      <c r="I26" s="1">
        <v>20</v>
      </c>
      <c r="J26" s="126">
        <f>SUM(J27:J34)</f>
        <v>580867064</v>
      </c>
      <c r="K26" s="126">
        <f>SUM(K27:K34)</f>
        <v>874827897.1899999</v>
      </c>
      <c r="L26" s="123"/>
      <c r="M26" s="123"/>
    </row>
    <row r="27" spans="1:13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578269543</v>
      </c>
      <c r="K27" s="7">
        <f>869292651.9-34081727</f>
        <v>835210924.9</v>
      </c>
      <c r="L27" s="123"/>
      <c r="M27" s="123"/>
    </row>
    <row r="28" spans="1:13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>
        <v>32841852.000000004</v>
      </c>
      <c r="L28" s="123"/>
      <c r="M28" s="123"/>
    </row>
    <row r="29" spans="1:13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177511</v>
      </c>
      <c r="K29" s="7">
        <v>177511</v>
      </c>
      <c r="L29" s="123"/>
      <c r="M29" s="123"/>
    </row>
    <row r="30" spans="1:13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  <c r="L30" s="123"/>
      <c r="M30" s="123"/>
    </row>
    <row r="31" spans="1:13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/>
      <c r="K31" s="7"/>
      <c r="L31" s="123"/>
      <c r="M31" s="123"/>
    </row>
    <row r="32" spans="1:13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2420010</v>
      </c>
      <c r="K32" s="7">
        <v>6597609.29</v>
      </c>
      <c r="L32" s="123"/>
      <c r="M32" s="123"/>
    </row>
    <row r="33" spans="1:13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/>
      <c r="K33" s="7"/>
      <c r="L33" s="123"/>
      <c r="M33" s="123"/>
    </row>
    <row r="34" spans="1:13" ht="12.75">
      <c r="A34" s="227" t="s">
        <v>181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/>
      <c r="K34" s="7"/>
      <c r="L34" s="123"/>
      <c r="M34" s="123"/>
    </row>
    <row r="35" spans="1:13" ht="12.75">
      <c r="A35" s="227" t="s">
        <v>182</v>
      </c>
      <c r="B35" s="228"/>
      <c r="C35" s="228"/>
      <c r="D35" s="228"/>
      <c r="E35" s="228"/>
      <c r="F35" s="228"/>
      <c r="G35" s="228"/>
      <c r="H35" s="229"/>
      <c r="I35" s="1">
        <v>29</v>
      </c>
      <c r="J35" s="126">
        <f>SUM(J36:J38)</f>
        <v>0</v>
      </c>
      <c r="K35" s="126">
        <f>SUM(K36:K38)</f>
        <v>0</v>
      </c>
      <c r="L35" s="123"/>
      <c r="M35" s="123"/>
    </row>
    <row r="36" spans="1:13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  <c r="L36" s="123"/>
      <c r="M36" s="123"/>
    </row>
    <row r="37" spans="1:13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  <c r="L37" s="123"/>
      <c r="M37" s="123"/>
    </row>
    <row r="38" spans="1:13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/>
      <c r="L38" s="123"/>
      <c r="M38" s="123"/>
    </row>
    <row r="39" spans="1:13" ht="12.75">
      <c r="A39" s="227" t="s">
        <v>183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924800</v>
      </c>
      <c r="K39" s="7">
        <v>855600</v>
      </c>
      <c r="L39" s="123"/>
      <c r="M39" s="123"/>
    </row>
    <row r="40" spans="1:13" ht="12.75">
      <c r="A40" s="224" t="s">
        <v>238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6">
        <f>J41+J49+J56+J64</f>
        <v>613588530</v>
      </c>
      <c r="K40" s="126">
        <f>K41+K49+K56+K64</f>
        <v>567908640.03</v>
      </c>
      <c r="L40" s="123"/>
      <c r="M40" s="123"/>
    </row>
    <row r="41" spans="1:13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6">
        <f>SUM(J42:J48)</f>
        <v>127180994</v>
      </c>
      <c r="K41" s="126">
        <f>SUM(K42:K48)</f>
        <v>121596475.63000001</v>
      </c>
      <c r="L41" s="123"/>
      <c r="M41" s="123"/>
    </row>
    <row r="42" spans="1:13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56000269</v>
      </c>
      <c r="K42" s="7">
        <v>53552995.760000005</v>
      </c>
      <c r="L42" s="123"/>
      <c r="M42" s="123"/>
    </row>
    <row r="43" spans="1:13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25668420</v>
      </c>
      <c r="K43" s="7">
        <v>28597877.6</v>
      </c>
      <c r="L43" s="123"/>
      <c r="M43" s="123"/>
    </row>
    <row r="44" spans="1:13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29342719</v>
      </c>
      <c r="K44" s="7">
        <v>31392334.38</v>
      </c>
      <c r="L44" s="123"/>
      <c r="M44" s="123"/>
    </row>
    <row r="45" spans="1:13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15101545</v>
      </c>
      <c r="K45" s="7">
        <v>6582970.47</v>
      </c>
      <c r="L45" s="123"/>
      <c r="M45" s="123"/>
    </row>
    <row r="46" spans="1:13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1068041</v>
      </c>
      <c r="K46" s="7">
        <v>1470297.42</v>
      </c>
      <c r="L46" s="123"/>
      <c r="M46" s="123"/>
    </row>
    <row r="47" spans="1:13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/>
      <c r="K47" s="7"/>
      <c r="L47" s="123"/>
      <c r="M47" s="123"/>
    </row>
    <row r="48" spans="1:13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  <c r="L48" s="123"/>
      <c r="M48" s="123"/>
    </row>
    <row r="49" spans="1:13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126">
        <f>SUM(J50:J55)</f>
        <v>443037725</v>
      </c>
      <c r="K49" s="126">
        <f>SUM(K50:K55)</f>
        <v>388146097.61</v>
      </c>
      <c r="L49" s="123"/>
      <c r="M49" s="123"/>
    </row>
    <row r="50" spans="1:13" ht="12.75">
      <c r="A50" s="227" t="s">
        <v>198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51684340</v>
      </c>
      <c r="K50" s="7">
        <v>61521183.71</v>
      </c>
      <c r="L50" s="123"/>
      <c r="M50" s="123"/>
    </row>
    <row r="51" spans="1:13" ht="12.75">
      <c r="A51" s="227" t="s">
        <v>199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378226777</v>
      </c>
      <c r="K51" s="7">
        <v>308685618.19</v>
      </c>
      <c r="L51" s="123"/>
      <c r="M51" s="123"/>
    </row>
    <row r="52" spans="1:13" ht="12.75">
      <c r="A52" s="227" t="s">
        <v>200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  <c r="L52" s="123"/>
      <c r="M52" s="123"/>
    </row>
    <row r="53" spans="1:13" ht="12.75">
      <c r="A53" s="227" t="s">
        <v>201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13802</v>
      </c>
      <c r="K53" s="7">
        <v>56653.299999999996</v>
      </c>
      <c r="L53" s="123"/>
      <c r="M53" s="123"/>
    </row>
    <row r="54" spans="1:13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12545550</v>
      </c>
      <c r="K54" s="7">
        <v>17186739.480000004</v>
      </c>
      <c r="L54" s="123"/>
      <c r="M54" s="123"/>
    </row>
    <row r="55" spans="1:13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567256</v>
      </c>
      <c r="K55" s="7">
        <v>695902.9300000003</v>
      </c>
      <c r="L55" s="123"/>
      <c r="M55" s="123"/>
    </row>
    <row r="56" spans="1:13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26">
        <f>SUM(J57:J63)</f>
        <v>9957197</v>
      </c>
      <c r="K56" s="126">
        <f>SUM(K57:K63)</f>
        <v>25658903.120000005</v>
      </c>
      <c r="L56" s="123"/>
      <c r="M56" s="123"/>
    </row>
    <row r="57" spans="1:13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  <c r="L57" s="123"/>
      <c r="M57" s="123"/>
    </row>
    <row r="58" spans="1:13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>
        <v>5087887.24</v>
      </c>
      <c r="L58" s="123"/>
      <c r="M58" s="123"/>
    </row>
    <row r="59" spans="1:13" ht="12.75">
      <c r="A59" s="227" t="s">
        <v>240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  <c r="L59" s="123"/>
      <c r="M59" s="123"/>
    </row>
    <row r="60" spans="1:13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  <c r="L60" s="123"/>
      <c r="M60" s="123"/>
    </row>
    <row r="61" spans="1:13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  <c r="L61" s="123"/>
      <c r="M61" s="123"/>
    </row>
    <row r="62" spans="1:13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8669851</v>
      </c>
      <c r="K62" s="7">
        <v>20459605.950000003</v>
      </c>
      <c r="L62" s="123"/>
      <c r="M62" s="123"/>
    </row>
    <row r="63" spans="1:13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1287346</v>
      </c>
      <c r="K63" s="7">
        <v>111409.93</v>
      </c>
      <c r="L63" s="123"/>
      <c r="M63" s="123"/>
    </row>
    <row r="64" spans="1:13" ht="12.75">
      <c r="A64" s="227" t="s">
        <v>205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33412614</v>
      </c>
      <c r="K64" s="7">
        <v>32507163.67</v>
      </c>
      <c r="L64" s="123"/>
      <c r="M64" s="123"/>
    </row>
    <row r="65" spans="1:13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43334</v>
      </c>
      <c r="K65" s="7">
        <v>1419419.44</v>
      </c>
      <c r="L65" s="123"/>
      <c r="M65" s="123"/>
    </row>
    <row r="66" spans="1:13" ht="12.75">
      <c r="A66" s="224" t="s">
        <v>239</v>
      </c>
      <c r="B66" s="225"/>
      <c r="C66" s="225"/>
      <c r="D66" s="225"/>
      <c r="E66" s="225"/>
      <c r="F66" s="225"/>
      <c r="G66" s="225"/>
      <c r="H66" s="226"/>
      <c r="I66" s="1">
        <v>60</v>
      </c>
      <c r="J66" s="126">
        <f>J7+J8+J40+J65</f>
        <v>1524762936</v>
      </c>
      <c r="K66" s="126">
        <f>K7+K8+K40+K65</f>
        <v>1756832578.13</v>
      </c>
      <c r="L66" s="123"/>
      <c r="M66" s="123"/>
    </row>
    <row r="67" spans="1:13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  <c r="L67" s="123"/>
      <c r="M67" s="123"/>
    </row>
    <row r="68" spans="1:13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  <c r="L68" s="123"/>
      <c r="M68" s="123"/>
    </row>
    <row r="69" spans="1:13" ht="12.75">
      <c r="A69" s="221" t="s">
        <v>189</v>
      </c>
      <c r="B69" s="222"/>
      <c r="C69" s="222"/>
      <c r="D69" s="222"/>
      <c r="E69" s="222"/>
      <c r="F69" s="222"/>
      <c r="G69" s="222"/>
      <c r="H69" s="223"/>
      <c r="I69" s="3">
        <v>62</v>
      </c>
      <c r="J69" s="127">
        <f>J70+J71+J72+J78+J79+J82+J85</f>
        <v>1095959909</v>
      </c>
      <c r="K69" s="127">
        <f>K70+K71+K72+K78+K79+K82+K85</f>
        <v>1097323250.05</v>
      </c>
      <c r="L69" s="123"/>
      <c r="M69" s="123"/>
    </row>
    <row r="70" spans="1:13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300000000</v>
      </c>
      <c r="K70" s="7">
        <v>300000000</v>
      </c>
      <c r="L70" s="123"/>
      <c r="M70" s="123"/>
    </row>
    <row r="71" spans="1:13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  <c r="L71" s="123"/>
      <c r="M71" s="123"/>
    </row>
    <row r="72" spans="1:13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126">
        <f>J73+J74-J75+J76+J77</f>
        <v>15000000</v>
      </c>
      <c r="K72" s="126">
        <f>K73+K74-K75+K76+K77</f>
        <v>15000000</v>
      </c>
      <c r="L72" s="123"/>
      <c r="M72" s="123"/>
    </row>
    <row r="73" spans="1:13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15000000</v>
      </c>
      <c r="K73" s="7">
        <v>15000000</v>
      </c>
      <c r="L73" s="123"/>
      <c r="M73" s="123"/>
    </row>
    <row r="74" spans="1:13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86680</v>
      </c>
      <c r="K74" s="7">
        <v>86680</v>
      </c>
      <c r="L74" s="123"/>
      <c r="M74" s="123"/>
    </row>
    <row r="75" spans="1:13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86680</v>
      </c>
      <c r="K75" s="7">
        <v>86680</v>
      </c>
      <c r="L75" s="123"/>
      <c r="M75" s="123"/>
    </row>
    <row r="76" spans="1:13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  <c r="L76" s="123"/>
      <c r="M76" s="123"/>
    </row>
    <row r="77" spans="1:13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  <c r="L77" s="123"/>
      <c r="M77" s="123"/>
    </row>
    <row r="78" spans="1:13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/>
      <c r="K78" s="7"/>
      <c r="L78" s="123"/>
      <c r="M78" s="123"/>
    </row>
    <row r="79" spans="1:13" ht="12.75">
      <c r="A79" s="227" t="s">
        <v>236</v>
      </c>
      <c r="B79" s="228"/>
      <c r="C79" s="228"/>
      <c r="D79" s="228"/>
      <c r="E79" s="228"/>
      <c r="F79" s="228"/>
      <c r="G79" s="228"/>
      <c r="H79" s="229"/>
      <c r="I79" s="1">
        <v>72</v>
      </c>
      <c r="J79" s="126">
        <f>J80-J81</f>
        <v>705639668</v>
      </c>
      <c r="K79" s="126">
        <f>K80-K81</f>
        <v>780959908.73</v>
      </c>
      <c r="L79" s="123"/>
      <c r="M79" s="123"/>
    </row>
    <row r="80" spans="1:13" ht="12.75">
      <c r="A80" s="236" t="s">
        <v>167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705639668</v>
      </c>
      <c r="K80" s="7">
        <v>780959908.73</v>
      </c>
      <c r="L80" s="123"/>
      <c r="M80" s="123"/>
    </row>
    <row r="81" spans="1:13" ht="12.75">
      <c r="A81" s="236" t="s">
        <v>168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/>
      <c r="K81" s="7"/>
      <c r="L81" s="123"/>
      <c r="M81" s="123"/>
    </row>
    <row r="82" spans="1:13" ht="12.75">
      <c r="A82" s="227" t="s">
        <v>237</v>
      </c>
      <c r="B82" s="228"/>
      <c r="C82" s="228"/>
      <c r="D82" s="228"/>
      <c r="E82" s="228"/>
      <c r="F82" s="228"/>
      <c r="G82" s="228"/>
      <c r="H82" s="229"/>
      <c r="I82" s="1">
        <v>75</v>
      </c>
      <c r="J82" s="126">
        <f>J83-J84</f>
        <v>75320241</v>
      </c>
      <c r="K82" s="126">
        <f>K83-K84</f>
        <v>1363341.3200000003</v>
      </c>
      <c r="L82" s="123"/>
      <c r="M82" s="123"/>
    </row>
    <row r="83" spans="1:13" ht="12.75">
      <c r="A83" s="236" t="s">
        <v>169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75320241</v>
      </c>
      <c r="K83" s="7">
        <f>35445068.32-34081727</f>
        <v>1363341.3200000003</v>
      </c>
      <c r="L83" s="123"/>
      <c r="M83" s="123"/>
    </row>
    <row r="84" spans="1:13" ht="12.75">
      <c r="A84" s="236" t="s">
        <v>170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/>
      <c r="K84" s="7"/>
      <c r="L84" s="123"/>
      <c r="M84" s="123"/>
    </row>
    <row r="85" spans="1:13" ht="12.75">
      <c r="A85" s="227" t="s">
        <v>171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/>
      <c r="K85" s="7"/>
      <c r="L85" s="123"/>
      <c r="M85" s="123"/>
    </row>
    <row r="86" spans="1:13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126">
        <f>SUM(J87:J89)</f>
        <v>4624000</v>
      </c>
      <c r="K86" s="126">
        <f>SUM(K87:K89)</f>
        <v>4278000</v>
      </c>
      <c r="L86" s="123"/>
      <c r="M86" s="123"/>
    </row>
    <row r="87" spans="1:13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4624000</v>
      </c>
      <c r="K87" s="7">
        <v>4278000</v>
      </c>
      <c r="L87" s="123"/>
      <c r="M87" s="123"/>
    </row>
    <row r="88" spans="1:13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  <c r="L88" s="123"/>
      <c r="M88" s="123"/>
    </row>
    <row r="89" spans="1:13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/>
      <c r="K89" s="7"/>
      <c r="L89" s="123"/>
      <c r="M89" s="123"/>
    </row>
    <row r="90" spans="1:13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126">
        <f>SUM(J91:J99)</f>
        <v>1055337</v>
      </c>
      <c r="K90" s="126">
        <f>SUM(K91:K99)</f>
        <v>290947630.57</v>
      </c>
      <c r="L90" s="123"/>
      <c r="M90" s="123"/>
    </row>
    <row r="91" spans="1:13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>
        <v>290230320</v>
      </c>
      <c r="L91" s="123"/>
      <c r="M91" s="123"/>
    </row>
    <row r="92" spans="1:13" ht="12.75">
      <c r="A92" s="227" t="s">
        <v>241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733000</v>
      </c>
      <c r="K92" s="7">
        <v>423000</v>
      </c>
      <c r="L92" s="123"/>
      <c r="M92" s="123"/>
    </row>
    <row r="93" spans="1:13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/>
      <c r="K93" s="7"/>
      <c r="L93" s="123"/>
      <c r="M93" s="123"/>
    </row>
    <row r="94" spans="1:13" ht="12.75">
      <c r="A94" s="227" t="s">
        <v>242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  <c r="L94" s="123"/>
      <c r="M94" s="123"/>
    </row>
    <row r="95" spans="1:13" ht="12.75">
      <c r="A95" s="227" t="s">
        <v>243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  <c r="L95" s="123"/>
      <c r="M95" s="123"/>
    </row>
    <row r="96" spans="1:13" ht="12.75">
      <c r="A96" s="227" t="s">
        <v>244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  <c r="L96" s="123"/>
      <c r="M96" s="123"/>
    </row>
    <row r="97" spans="1:13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  <c r="L97" s="123"/>
      <c r="M97" s="123"/>
    </row>
    <row r="98" spans="1:13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322337</v>
      </c>
      <c r="K98" s="7">
        <v>294310.57</v>
      </c>
      <c r="L98" s="123"/>
      <c r="M98" s="123"/>
    </row>
    <row r="99" spans="1:13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  <c r="L99" s="123"/>
      <c r="M99" s="123"/>
    </row>
    <row r="100" spans="1:13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26">
        <f>SUM(J101:J112)</f>
        <v>379949162</v>
      </c>
      <c r="K100" s="126">
        <f>SUM(K101:K112)</f>
        <v>323167918.63</v>
      </c>
      <c r="L100" s="123"/>
      <c r="M100" s="123"/>
    </row>
    <row r="101" spans="1:13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82768705</v>
      </c>
      <c r="K101" s="7">
        <v>75371892.28999999</v>
      </c>
      <c r="L101" s="123"/>
      <c r="M101" s="123"/>
    </row>
    <row r="102" spans="1:13" ht="12.75">
      <c r="A102" s="227" t="s">
        <v>241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415268</v>
      </c>
      <c r="K102" s="7">
        <v>415268.32</v>
      </c>
      <c r="L102" s="123"/>
      <c r="M102" s="123"/>
    </row>
    <row r="103" spans="1:13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/>
      <c r="K103" s="7"/>
      <c r="L103" s="123"/>
      <c r="M103" s="123"/>
    </row>
    <row r="104" spans="1:13" ht="12.75">
      <c r="A104" s="227" t="s">
        <v>242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/>
      <c r="K104" s="7"/>
      <c r="L104" s="123"/>
      <c r="M104" s="123"/>
    </row>
    <row r="105" spans="1:13" ht="12.75">
      <c r="A105" s="227" t="s">
        <v>243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151682784</v>
      </c>
      <c r="K105" s="7">
        <v>139092962.97</v>
      </c>
      <c r="L105" s="123"/>
      <c r="M105" s="123"/>
    </row>
    <row r="106" spans="1:13" ht="12.75">
      <c r="A106" s="227" t="s">
        <v>244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  <c r="L106" s="123"/>
      <c r="M106" s="123"/>
    </row>
    <row r="107" spans="1:13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  <c r="L107" s="123"/>
      <c r="M107" s="123"/>
    </row>
    <row r="108" spans="1:13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24341700</v>
      </c>
      <c r="K108" s="7">
        <v>20108087.14</v>
      </c>
      <c r="L108" s="123"/>
      <c r="M108" s="123"/>
    </row>
    <row r="109" spans="1:13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5466001</v>
      </c>
      <c r="K109" s="7">
        <v>6351587.59</v>
      </c>
      <c r="L109" s="123"/>
      <c r="M109" s="123"/>
    </row>
    <row r="110" spans="1:13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74058</v>
      </c>
      <c r="K110" s="7">
        <v>74057.7</v>
      </c>
      <c r="L110" s="123"/>
      <c r="M110" s="123"/>
    </row>
    <row r="111" spans="1:13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  <c r="L111" s="123"/>
      <c r="M111" s="123"/>
    </row>
    <row r="112" spans="1:13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115200646</v>
      </c>
      <c r="K112" s="7">
        <v>81754062.62</v>
      </c>
      <c r="L112" s="123"/>
      <c r="M112" s="123"/>
    </row>
    <row r="113" spans="1:13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43174528</v>
      </c>
      <c r="K113" s="7">
        <v>41115778.88</v>
      </c>
      <c r="L113" s="123"/>
      <c r="M113" s="123"/>
    </row>
    <row r="114" spans="1:13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26">
        <f>J69+J86+J90+J100+J113</f>
        <v>1524762936</v>
      </c>
      <c r="K114" s="126">
        <f>K69+K86+K90+K100+K113</f>
        <v>1756832578.13</v>
      </c>
      <c r="L114" s="123"/>
      <c r="M114" s="123"/>
    </row>
    <row r="115" spans="1:11" ht="12.75">
      <c r="A115" s="246" t="s">
        <v>57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8"/>
      <c r="K115" s="8"/>
    </row>
    <row r="116" spans="1:11" ht="12.75">
      <c r="A116" s="233" t="s">
        <v>306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21" t="s">
        <v>184</v>
      </c>
      <c r="B117" s="222"/>
      <c r="C117" s="222"/>
      <c r="D117" s="222"/>
      <c r="E117" s="222"/>
      <c r="F117" s="222"/>
      <c r="G117" s="222"/>
      <c r="H117" s="222"/>
      <c r="I117" s="252"/>
      <c r="J117" s="252"/>
      <c r="K117" s="253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307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  <row r="122" spans="10:11" ht="12.75">
      <c r="J122" s="123">
        <f>+J66-J114</f>
        <v>0</v>
      </c>
      <c r="K122" s="123">
        <f>+K66-K114</f>
        <v>0</v>
      </c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40:K65536 J1:K38 L1:IV65536"/>
    <dataValidation type="whole" operator="greaterThanOrEqual" allowBlank="1" showInputMessage="1" showErrorMessage="1" errorTitle="Pogrešan unos" error="Mogu se unijeti samo cjelobrojne pozitivne vrijednosti." sqref="J39:K3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SheetLayoutView="110" zoomScalePageLayoutView="0" workbookViewId="0" topLeftCell="A1">
      <pane xSplit="9" ySplit="6" topLeftCell="J30" activePane="bottomRight" state="frozen"/>
      <selection pane="topLeft" activeCell="A1" sqref="A1"/>
      <selection pane="topRight" activeCell="J1" sqref="J1"/>
      <selection pane="bottomLeft" activeCell="A7" sqref="A7"/>
      <selection pane="bottomRight" activeCell="N34" sqref="N34"/>
    </sheetView>
  </sheetViews>
  <sheetFormatPr defaultColWidth="9.140625" defaultRowHeight="12.75"/>
  <cols>
    <col min="1" max="8" width="8.7109375" style="49" customWidth="1"/>
    <col min="9" max="9" width="6.7109375" style="49" customWidth="1"/>
    <col min="10" max="13" width="12.7109375" style="49" customWidth="1"/>
    <col min="14" max="15" width="15.7109375" style="130" customWidth="1"/>
    <col min="16" max="16" width="7.7109375" style="49" customWidth="1"/>
    <col min="17" max="16384" width="9.140625" style="49" customWidth="1"/>
  </cols>
  <sheetData>
    <row r="1" spans="1:13" ht="12.7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63" t="s">
        <v>365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6" t="s">
        <v>318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4" t="s">
        <v>277</v>
      </c>
      <c r="J4" s="254" t="s">
        <v>368</v>
      </c>
      <c r="K4" s="254"/>
      <c r="L4" s="254" t="s">
        <v>366</v>
      </c>
      <c r="M4" s="254"/>
    </row>
    <row r="5" spans="1:13" ht="12.75">
      <c r="A5" s="255"/>
      <c r="B5" s="255"/>
      <c r="C5" s="255"/>
      <c r="D5" s="255"/>
      <c r="E5" s="255"/>
      <c r="F5" s="255"/>
      <c r="G5" s="255"/>
      <c r="H5" s="255"/>
      <c r="I5" s="54"/>
      <c r="J5" s="56" t="s">
        <v>310</v>
      </c>
      <c r="K5" s="56" t="s">
        <v>311</v>
      </c>
      <c r="L5" s="56" t="s">
        <v>310</v>
      </c>
      <c r="M5" s="56" t="s">
        <v>311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7" ht="12.75">
      <c r="A7" s="221" t="s">
        <v>26</v>
      </c>
      <c r="B7" s="222"/>
      <c r="C7" s="222"/>
      <c r="D7" s="222"/>
      <c r="E7" s="222"/>
      <c r="F7" s="222"/>
      <c r="G7" s="222"/>
      <c r="H7" s="223"/>
      <c r="I7" s="3">
        <v>111</v>
      </c>
      <c r="J7" s="127">
        <f>SUM(J8:J9)</f>
        <v>1775890091</v>
      </c>
      <c r="K7" s="127">
        <f>SUM(K8:K9)</f>
        <v>434503010</v>
      </c>
      <c r="L7" s="127">
        <f>SUM(L8:L9)</f>
        <v>1651969306.5800004</v>
      </c>
      <c r="M7" s="127">
        <f>SUM(M8:M9)</f>
        <v>395109388.9000001</v>
      </c>
      <c r="N7" s="132"/>
      <c r="O7" s="132"/>
      <c r="P7" s="133"/>
      <c r="Q7" s="131"/>
    </row>
    <row r="8" spans="1:17" ht="12.75">
      <c r="A8" s="224" t="s">
        <v>150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f>1751475271+389</f>
        <v>1751475660</v>
      </c>
      <c r="K8" s="7">
        <f>428668642+389</f>
        <v>428669031</v>
      </c>
      <c r="L8" s="7">
        <v>1620983297.3400004</v>
      </c>
      <c r="M8" s="7">
        <v>389124291.18000007</v>
      </c>
      <c r="N8" s="132"/>
      <c r="O8" s="138"/>
      <c r="P8" s="134"/>
      <c r="Q8" s="131"/>
    </row>
    <row r="9" spans="1:17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f>25714524-1300093</f>
        <v>24414431</v>
      </c>
      <c r="K9" s="7">
        <f>7134072-1300093</f>
        <v>5833979</v>
      </c>
      <c r="L9" s="7">
        <v>30986009.24</v>
      </c>
      <c r="M9" s="7">
        <v>5985097.72</v>
      </c>
      <c r="N9" s="132"/>
      <c r="O9" s="138"/>
      <c r="P9" s="134"/>
      <c r="Q9" s="131"/>
    </row>
    <row r="10" spans="1:17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6">
        <f>J11+J12+J16+J20+J21+J22+J25+J26</f>
        <v>1689051524</v>
      </c>
      <c r="K10" s="126">
        <f>K11+K12+K16+K20+K21+K22+K25+K26</f>
        <v>418202255</v>
      </c>
      <c r="L10" s="126">
        <f>L11+L12+L16+L20+L21+L22+L25+L26</f>
        <v>1636485850.7199998</v>
      </c>
      <c r="M10" s="126">
        <f>M11+M12+M16+M20+M21+M22+M25+M26</f>
        <v>399291218.0699998</v>
      </c>
      <c r="N10" s="132"/>
      <c r="O10" s="132"/>
      <c r="P10" s="133"/>
      <c r="Q10" s="131"/>
    </row>
    <row r="11" spans="1:17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3079256</v>
      </c>
      <c r="K11" s="7">
        <v>-5752225</v>
      </c>
      <c r="L11" s="7">
        <v>-4979023.07</v>
      </c>
      <c r="M11" s="7">
        <v>-1337647.35</v>
      </c>
      <c r="N11" s="132"/>
      <c r="O11" s="139"/>
      <c r="P11" s="131"/>
      <c r="Q11" s="131"/>
    </row>
    <row r="12" spans="1:17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6">
        <f>SUM(J13:J15)</f>
        <v>1409028371</v>
      </c>
      <c r="K12" s="126">
        <f>SUM(K13:K15)</f>
        <v>350830819</v>
      </c>
      <c r="L12" s="126">
        <f>SUM(L13:L15)</f>
        <v>1359453271.9899998</v>
      </c>
      <c r="M12" s="126">
        <f>SUM(M13:M15)</f>
        <v>329848765.70999986</v>
      </c>
      <c r="N12" s="132"/>
      <c r="O12" s="139"/>
      <c r="P12" s="131"/>
      <c r="Q12" s="131"/>
    </row>
    <row r="13" spans="1:17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f>745107511-827132</f>
        <v>744280379</v>
      </c>
      <c r="K13" s="7">
        <f>186011389-827132</f>
        <v>185184257</v>
      </c>
      <c r="L13" s="7">
        <v>753945124.35</v>
      </c>
      <c r="M13" s="7">
        <v>187225764.47999984</v>
      </c>
      <c r="N13" s="132"/>
      <c r="O13" s="139"/>
      <c r="P13" s="131"/>
      <c r="Q13" s="131"/>
    </row>
    <row r="14" spans="1:15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468678209</v>
      </c>
      <c r="K14" s="7">
        <v>125155596</v>
      </c>
      <c r="L14" s="7">
        <v>391898554.52</v>
      </c>
      <c r="M14" s="7">
        <v>92029363.69999999</v>
      </c>
      <c r="N14" s="132"/>
      <c r="O14" s="139"/>
    </row>
    <row r="15" spans="1:15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f>196542355-472572</f>
        <v>196069783</v>
      </c>
      <c r="K15" s="7">
        <f>40963538-472572</f>
        <v>40490966</v>
      </c>
      <c r="L15" s="7">
        <v>213609593.11999997</v>
      </c>
      <c r="M15" s="7">
        <v>50593637.53000001</v>
      </c>
      <c r="N15" s="132"/>
      <c r="O15" s="139"/>
    </row>
    <row r="16" spans="1:14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6">
        <f>SUM(J17:J19)</f>
        <v>191001230</v>
      </c>
      <c r="K16" s="126">
        <f>SUM(K17:K19)</f>
        <v>47831637</v>
      </c>
      <c r="L16" s="126">
        <f>SUM(L17:L19)</f>
        <v>178285650.73000002</v>
      </c>
      <c r="M16" s="126">
        <f>SUM(M17:M19)</f>
        <v>42869448.03000001</v>
      </c>
      <c r="N16" s="132"/>
    </row>
    <row r="17" spans="1:14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115139635</v>
      </c>
      <c r="K17" s="7">
        <v>29469724</v>
      </c>
      <c r="L17" s="7">
        <v>107053038.76</v>
      </c>
      <c r="M17" s="7">
        <v>25857516.450000003</v>
      </c>
      <c r="N17" s="132"/>
    </row>
    <row r="18" spans="1:14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50900988</v>
      </c>
      <c r="K18" s="7">
        <v>12382111</v>
      </c>
      <c r="L18" s="7">
        <v>48362846.83</v>
      </c>
      <c r="M18" s="7">
        <v>11506976.540000003</v>
      </c>
      <c r="N18" s="132"/>
    </row>
    <row r="19" spans="1:14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24960607</v>
      </c>
      <c r="K19" s="7">
        <v>5979802</v>
      </c>
      <c r="L19" s="7">
        <v>22869765.140000004</v>
      </c>
      <c r="M19" s="7">
        <v>5504955.039999999</v>
      </c>
      <c r="N19" s="132"/>
    </row>
    <row r="20" spans="1:14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44117619</v>
      </c>
      <c r="K20" s="7">
        <v>11242216</v>
      </c>
      <c r="L20" s="7">
        <v>39552479.5</v>
      </c>
      <c r="M20" s="7">
        <v>9095534.580000002</v>
      </c>
      <c r="N20" s="132"/>
    </row>
    <row r="21" spans="1:14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f>39609087-381273</f>
        <v>39227814</v>
      </c>
      <c r="K21" s="7">
        <f>12862001-381273</f>
        <v>12480728</v>
      </c>
      <c r="L21" s="7">
        <v>38961581.68</v>
      </c>
      <c r="M21" s="7">
        <v>10425244.09</v>
      </c>
      <c r="N21" s="132"/>
    </row>
    <row r="22" spans="1:14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6">
        <f>SUM(J23:J24)</f>
        <v>459941</v>
      </c>
      <c r="K22" s="126">
        <f>SUM(K23:K24)</f>
        <v>254309</v>
      </c>
      <c r="L22" s="126">
        <f>SUM(L23:L24)</f>
        <v>16539119.020000001</v>
      </c>
      <c r="M22" s="126">
        <f>SUM(M23:M24)</f>
        <v>2946798.6499999966</v>
      </c>
      <c r="N22" s="132"/>
    </row>
    <row r="23" spans="1:15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/>
      <c r="K23" s="7"/>
      <c r="L23" s="7"/>
      <c r="M23" s="7"/>
      <c r="N23" s="132"/>
      <c r="O23" s="139"/>
    </row>
    <row r="24" spans="1:15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459941</v>
      </c>
      <c r="K24" s="7">
        <v>254309</v>
      </c>
      <c r="L24" s="7">
        <v>16539119.020000001</v>
      </c>
      <c r="M24" s="7">
        <v>2946798.6499999966</v>
      </c>
      <c r="N24" s="132"/>
      <c r="O24" s="139"/>
    </row>
    <row r="25" spans="1:15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f>175000+77000</f>
        <v>252000</v>
      </c>
      <c r="K25" s="7">
        <v>175000</v>
      </c>
      <c r="L25" s="7">
        <f>3591004.15-3543004.15</f>
        <v>48000</v>
      </c>
      <c r="M25" s="7">
        <f>3271304.15-3223304.15</f>
        <v>48000</v>
      </c>
      <c r="N25" s="132"/>
      <c r="O25" s="139"/>
    </row>
    <row r="26" spans="1:15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>
        <f>1962293-77000</f>
        <v>1885293</v>
      </c>
      <c r="K26" s="7">
        <v>1139771</v>
      </c>
      <c r="L26" s="7">
        <f>5081766.72+3543004.15</f>
        <v>8624770.87</v>
      </c>
      <c r="M26" s="7">
        <f>2171770.21+3223304.15</f>
        <v>5395074.359999999</v>
      </c>
      <c r="N26" s="132"/>
      <c r="O26" s="132"/>
    </row>
    <row r="27" spans="1:16" ht="12.75">
      <c r="A27" s="224" t="s">
        <v>211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26">
        <f>SUM(J28:J32)</f>
        <v>11517262</v>
      </c>
      <c r="K27" s="126">
        <f>SUM(K28:K32)</f>
        <v>51388</v>
      </c>
      <c r="L27" s="126">
        <f>SUM(L28:L32)</f>
        <v>32622492.43</v>
      </c>
      <c r="M27" s="126">
        <f>SUM(M28:M32)</f>
        <v>33925518.730000004</v>
      </c>
      <c r="N27" s="132"/>
      <c r="O27" s="132"/>
      <c r="P27" s="129"/>
    </row>
    <row r="28" spans="1:15" ht="24.75" customHeight="1">
      <c r="A28" s="224" t="s">
        <v>225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>
        <f>11494643</f>
        <v>11494643</v>
      </c>
      <c r="K28" s="7">
        <f>28769</f>
        <v>28769</v>
      </c>
      <c r="L28" s="7">
        <v>32536682</v>
      </c>
      <c r="M28" s="7">
        <v>33847718.96</v>
      </c>
      <c r="N28" s="132"/>
      <c r="O28" s="139"/>
    </row>
    <row r="29" spans="1:15" ht="24.75" customHeight="1">
      <c r="A29" s="224" t="s">
        <v>153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22619</v>
      </c>
      <c r="K29" s="7">
        <v>22619</v>
      </c>
      <c r="L29" s="7">
        <v>85810.43</v>
      </c>
      <c r="M29" s="7">
        <v>77799.76999999999</v>
      </c>
      <c r="N29" s="132"/>
      <c r="O29" s="139"/>
    </row>
    <row r="30" spans="1:15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  <c r="N30" s="132"/>
      <c r="O30" s="139"/>
    </row>
    <row r="31" spans="1:15" ht="12.75">
      <c r="A31" s="224" t="s">
        <v>221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  <c r="N31" s="132"/>
      <c r="O31" s="139"/>
    </row>
    <row r="32" spans="1:15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/>
      <c r="K32" s="7"/>
      <c r="L32" s="7"/>
      <c r="M32" s="7"/>
      <c r="N32" s="132"/>
      <c r="O32" s="139"/>
    </row>
    <row r="33" spans="1:16" ht="12.75">
      <c r="A33" s="224" t="s">
        <v>212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6">
        <f>SUM(J34:J37)</f>
        <v>4702217</v>
      </c>
      <c r="K33" s="126">
        <f>SUM(K34:K37)</f>
        <v>640663</v>
      </c>
      <c r="L33" s="126">
        <f>SUM(L34:L37)</f>
        <v>43254250.92</v>
      </c>
      <c r="M33" s="126">
        <f>SUM(M34:M37)</f>
        <v>35194599.43</v>
      </c>
      <c r="N33" s="132"/>
      <c r="O33" s="132"/>
      <c r="P33" s="133"/>
    </row>
    <row r="34" spans="1:15" ht="19.5" customHeight="1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>
        <v>4647826</v>
      </c>
      <c r="K34" s="7">
        <v>630945</v>
      </c>
      <c r="L34" s="7">
        <v>9133927.010000002</v>
      </c>
      <c r="M34" s="7">
        <v>1097393</v>
      </c>
      <c r="N34" s="132"/>
      <c r="O34" s="139"/>
    </row>
    <row r="35" spans="1:15" ht="19.5" customHeight="1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54391</v>
      </c>
      <c r="K35" s="7">
        <v>9718</v>
      </c>
      <c r="L35" s="7">
        <v>38596.91</v>
      </c>
      <c r="M35" s="7">
        <v>15479.43</v>
      </c>
      <c r="N35" s="132"/>
      <c r="O35" s="139"/>
    </row>
    <row r="36" spans="1:15" ht="12.75">
      <c r="A36" s="224" t="s">
        <v>222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  <c r="N36" s="132"/>
      <c r="O36" s="139"/>
    </row>
    <row r="37" spans="1:15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/>
      <c r="K37" s="7"/>
      <c r="L37" s="7">
        <v>34081727</v>
      </c>
      <c r="M37" s="7">
        <v>34081727</v>
      </c>
      <c r="N37" s="132"/>
      <c r="O37" s="139"/>
    </row>
    <row r="38" spans="1:15" ht="12.75">
      <c r="A38" s="224" t="s">
        <v>193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  <c r="N38" s="132"/>
      <c r="O38" s="139"/>
    </row>
    <row r="39" spans="1:14" ht="12.75">
      <c r="A39" s="224" t="s">
        <v>194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  <c r="N39" s="132"/>
    </row>
    <row r="40" spans="1:14" ht="12.75">
      <c r="A40" s="224" t="s">
        <v>223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  <c r="N40" s="132"/>
    </row>
    <row r="41" spans="1:14" ht="12.75">
      <c r="A41" s="224" t="s">
        <v>224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  <c r="N41" s="132"/>
    </row>
    <row r="42" spans="1:14" ht="12.75">
      <c r="A42" s="224" t="s">
        <v>213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0">
        <f>J7+J27+J38+J40</f>
        <v>1787407353</v>
      </c>
      <c r="K42" s="50">
        <f>K7+K27+K38+K40</f>
        <v>434554398</v>
      </c>
      <c r="L42" s="50">
        <f>L7+L27+L38+L40</f>
        <v>1684591799.0100005</v>
      </c>
      <c r="M42" s="50">
        <f>M7+M27+M38+M40</f>
        <v>429034907.6300001</v>
      </c>
      <c r="N42" s="132"/>
    </row>
    <row r="43" spans="1:14" ht="12.75">
      <c r="A43" s="224" t="s">
        <v>214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0">
        <f>J10+J33+J39+J41</f>
        <v>1693753741</v>
      </c>
      <c r="K43" s="50">
        <f>K10+K33+K39+K41</f>
        <v>418842918</v>
      </c>
      <c r="L43" s="50">
        <f>L10+L33+L39+L41</f>
        <v>1679740101.6399999</v>
      </c>
      <c r="M43" s="50">
        <f>M10+M33+M39+M41</f>
        <v>434485817.4999998</v>
      </c>
      <c r="N43" s="132"/>
    </row>
    <row r="44" spans="1:15" ht="12.75">
      <c r="A44" s="224" t="s">
        <v>234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0">
        <f>J42-J43</f>
        <v>93653612</v>
      </c>
      <c r="K44" s="50">
        <f>K42-K43</f>
        <v>15711480</v>
      </c>
      <c r="L44" s="50">
        <f>L42-L43</f>
        <v>4851697.370000601</v>
      </c>
      <c r="M44" s="50">
        <f>M42-M43</f>
        <v>-5450909.869999707</v>
      </c>
      <c r="N44" s="132"/>
      <c r="O44" s="139"/>
    </row>
    <row r="45" spans="1:15" ht="12.75">
      <c r="A45" s="236" t="s">
        <v>216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0">
        <f>IF(J42&gt;J43,J42-J43,0)</f>
        <v>93653612</v>
      </c>
      <c r="K45" s="50">
        <f>IF(K42&gt;K43,K42-K43,0)</f>
        <v>15711480</v>
      </c>
      <c r="L45" s="50">
        <f>IF(L42&gt;L43,L42-L43,0)</f>
        <v>4851697.370000601</v>
      </c>
      <c r="M45" s="50">
        <f>IF(M42&gt;M43,M42-M43,0)</f>
        <v>0</v>
      </c>
      <c r="N45" s="132"/>
      <c r="O45" s="132"/>
    </row>
    <row r="46" spans="1:15" ht="12.75">
      <c r="A46" s="236" t="s">
        <v>217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5450909.869999707</v>
      </c>
      <c r="N46" s="132"/>
      <c r="O46" s="139"/>
    </row>
    <row r="47" spans="1:15" ht="12.75">
      <c r="A47" s="224" t="s">
        <v>215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18333371</v>
      </c>
      <c r="K47" s="7">
        <v>2647753</v>
      </c>
      <c r="L47" s="7">
        <v>3488356.05</v>
      </c>
      <c r="M47" s="7">
        <v>1314490.5240000454</v>
      </c>
      <c r="N47" s="132"/>
      <c r="O47" s="139"/>
    </row>
    <row r="48" spans="1:14" ht="12.75">
      <c r="A48" s="224" t="s">
        <v>235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0">
        <f>J44-J47</f>
        <v>75320241</v>
      </c>
      <c r="K48" s="50">
        <f>K44-K47</f>
        <v>13063727</v>
      </c>
      <c r="L48" s="50">
        <f>L44-L47</f>
        <v>1363341.320000601</v>
      </c>
      <c r="M48" s="50">
        <f>M44-M47</f>
        <v>-6765400.393999752</v>
      </c>
      <c r="N48" s="132"/>
    </row>
    <row r="49" spans="1:14" ht="12.75">
      <c r="A49" s="236" t="s">
        <v>190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0">
        <f>IF(J48&gt;0,J48,0)</f>
        <v>75320241</v>
      </c>
      <c r="K49" s="50">
        <f>IF(K48&gt;0,K48,0)</f>
        <v>13063727</v>
      </c>
      <c r="L49" s="50">
        <f>IF(L48&gt;0,L48,0)</f>
        <v>1363341.320000601</v>
      </c>
      <c r="M49" s="50">
        <f>IF(M48&gt;0,M48,0)</f>
        <v>0</v>
      </c>
      <c r="N49" s="132"/>
    </row>
    <row r="50" spans="1:13" ht="12.75">
      <c r="A50" s="257" t="s">
        <v>218</v>
      </c>
      <c r="B50" s="258"/>
      <c r="C50" s="258"/>
      <c r="D50" s="258"/>
      <c r="E50" s="258"/>
      <c r="F50" s="258"/>
      <c r="G50" s="258"/>
      <c r="H50" s="259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6765400.393999752</v>
      </c>
    </row>
    <row r="51" spans="1:13" ht="12.75" customHeight="1">
      <c r="A51" s="233" t="s">
        <v>308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21" t="s">
        <v>185</v>
      </c>
      <c r="B52" s="222"/>
      <c r="C52" s="222"/>
      <c r="D52" s="222"/>
      <c r="E52" s="222"/>
      <c r="F52" s="222"/>
      <c r="G52" s="222"/>
      <c r="H52" s="222"/>
      <c r="I52" s="51"/>
      <c r="J52" s="51"/>
      <c r="K52" s="51"/>
      <c r="L52" s="51"/>
      <c r="M52" s="58"/>
    </row>
    <row r="53" spans="1:13" ht="12.75">
      <c r="A53" s="260" t="s">
        <v>232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233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33" t="s">
        <v>187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>
      <c r="A56" s="221" t="s">
        <v>202</v>
      </c>
      <c r="B56" s="222"/>
      <c r="C56" s="222"/>
      <c r="D56" s="222"/>
      <c r="E56" s="222"/>
      <c r="F56" s="222"/>
      <c r="G56" s="222"/>
      <c r="H56" s="223"/>
      <c r="I56" s="9">
        <v>157</v>
      </c>
      <c r="J56" s="6"/>
      <c r="K56" s="6"/>
      <c r="L56" s="6"/>
      <c r="M56" s="6"/>
    </row>
    <row r="57" spans="1:13" ht="12.75">
      <c r="A57" s="224" t="s">
        <v>219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24" t="s">
        <v>226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/>
      <c r="K58" s="7"/>
      <c r="L58" s="7"/>
      <c r="M58" s="7"/>
    </row>
    <row r="59" spans="1:13" ht="24.75" customHeight="1">
      <c r="A59" s="224" t="s">
        <v>227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24.75" customHeight="1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/>
      <c r="K60" s="7"/>
      <c r="L60" s="7"/>
      <c r="M60" s="7"/>
    </row>
    <row r="61" spans="1:13" ht="12.75">
      <c r="A61" s="224" t="s">
        <v>228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229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230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231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/>
      <c r="K64" s="7"/>
      <c r="L64" s="7"/>
      <c r="M64" s="7"/>
    </row>
    <row r="65" spans="1:13" ht="12.75">
      <c r="A65" s="224" t="s">
        <v>220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24.75" customHeight="1">
      <c r="A66" s="224" t="s">
        <v>191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24" t="s">
        <v>192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7">
        <f>J56+J66</f>
        <v>0</v>
      </c>
      <c r="K67" s="57">
        <f>K56+K66</f>
        <v>0</v>
      </c>
      <c r="L67" s="57">
        <f>L56+L66</f>
        <v>0</v>
      </c>
      <c r="M67" s="57">
        <f>M56+M66</f>
        <v>0</v>
      </c>
    </row>
    <row r="68" spans="1:13" ht="12.75" customHeight="1">
      <c r="A68" s="267" t="s">
        <v>309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186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60" t="s">
        <v>232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64" t="s">
        <v>233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  <row r="75" spans="10:12" ht="12.75">
      <c r="J75" s="130"/>
      <c r="K75" s="130"/>
      <c r="L75" s="130"/>
    </row>
    <row r="76" spans="10:13" ht="12.75">
      <c r="J76" s="130"/>
      <c r="K76" s="130"/>
      <c r="L76" s="130"/>
      <c r="M76" s="130"/>
    </row>
    <row r="77" spans="10:12" ht="12.75">
      <c r="J77" s="130"/>
      <c r="K77" s="130"/>
      <c r="L77" s="130"/>
    </row>
    <row r="78" spans="10:12" ht="12.75">
      <c r="J78" s="130"/>
      <c r="K78" s="130"/>
      <c r="L78" s="130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15748031496062992" right="0.15748031496062992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8" width="8.7109375" style="49" customWidth="1"/>
    <col min="9" max="9" width="5.7109375" style="49" customWidth="1"/>
    <col min="10" max="11" width="12.7109375" style="49" customWidth="1"/>
    <col min="12" max="16384" width="9.140625" style="49" customWidth="1"/>
  </cols>
  <sheetData>
    <row r="1" spans="1:11" ht="12.75" customHeight="1">
      <c r="A1" s="275" t="s">
        <v>195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4.5">
      <c r="A4" s="277" t="s">
        <v>59</v>
      </c>
      <c r="B4" s="277"/>
      <c r="C4" s="277"/>
      <c r="D4" s="277"/>
      <c r="E4" s="277"/>
      <c r="F4" s="277"/>
      <c r="G4" s="277"/>
      <c r="H4" s="277"/>
      <c r="I4" s="62" t="s">
        <v>277</v>
      </c>
      <c r="J4" s="63" t="s">
        <v>314</v>
      </c>
      <c r="K4" s="63" t="s">
        <v>315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280</v>
      </c>
      <c r="K5" s="69" t="s">
        <v>281</v>
      </c>
    </row>
    <row r="6" spans="1:11" ht="12.75">
      <c r="A6" s="233" t="s">
        <v>154</v>
      </c>
      <c r="B6" s="249"/>
      <c r="C6" s="249"/>
      <c r="D6" s="249"/>
      <c r="E6" s="249"/>
      <c r="F6" s="249"/>
      <c r="G6" s="249"/>
      <c r="H6" s="249"/>
      <c r="I6" s="272"/>
      <c r="J6" s="272"/>
      <c r="K6" s="273"/>
    </row>
    <row r="7" spans="1:11" ht="12.75">
      <c r="A7" s="227" t="s">
        <v>197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24" t="s">
        <v>196</v>
      </c>
      <c r="B12" s="225"/>
      <c r="C12" s="225"/>
      <c r="D12" s="225"/>
      <c r="E12" s="225"/>
      <c r="F12" s="225"/>
      <c r="G12" s="225"/>
      <c r="H12" s="225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24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230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33" t="s">
        <v>157</v>
      </c>
      <c r="B22" s="249"/>
      <c r="C22" s="249"/>
      <c r="D22" s="249"/>
      <c r="E22" s="249"/>
      <c r="F22" s="249"/>
      <c r="G22" s="249"/>
      <c r="H22" s="249"/>
      <c r="I22" s="272"/>
      <c r="J22" s="272"/>
      <c r="K22" s="273"/>
    </row>
    <row r="23" spans="1:11" ht="12.75">
      <c r="A23" s="227" t="s">
        <v>163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164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316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317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165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33" t="s">
        <v>158</v>
      </c>
      <c r="B35" s="249"/>
      <c r="C35" s="249"/>
      <c r="D35" s="249"/>
      <c r="E35" s="249"/>
      <c r="F35" s="249"/>
      <c r="G35" s="249"/>
      <c r="H35" s="249"/>
      <c r="I35" s="272">
        <v>0</v>
      </c>
      <c r="J35" s="272"/>
      <c r="K35" s="273"/>
    </row>
    <row r="36" spans="1:11" ht="12.75">
      <c r="A36" s="227" t="s">
        <v>172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24" t="s">
        <v>160</v>
      </c>
      <c r="B46" s="225"/>
      <c r="C46" s="225"/>
      <c r="D46" s="225"/>
      <c r="E46" s="225"/>
      <c r="F46" s="225"/>
      <c r="G46" s="225"/>
      <c r="H46" s="225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24" t="s">
        <v>161</v>
      </c>
      <c r="B47" s="225"/>
      <c r="C47" s="225"/>
      <c r="D47" s="225"/>
      <c r="E47" s="225"/>
      <c r="F47" s="225"/>
      <c r="G47" s="225"/>
      <c r="H47" s="225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24" t="s">
        <v>159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173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174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0" t="s">
        <v>175</v>
      </c>
      <c r="B53" s="231"/>
      <c r="C53" s="231"/>
      <c r="D53" s="231"/>
      <c r="E53" s="231"/>
      <c r="F53" s="231"/>
      <c r="G53" s="231"/>
      <c r="H53" s="231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25" zoomScalePageLayoutView="0" workbookViewId="0" topLeftCell="A1">
      <selection activeCell="L5" sqref="L5:M6"/>
    </sheetView>
  </sheetViews>
  <sheetFormatPr defaultColWidth="9.140625" defaultRowHeight="12.75"/>
  <cols>
    <col min="1" max="8" width="8.7109375" style="72" customWidth="1"/>
    <col min="9" max="9" width="5.7109375" style="72" customWidth="1"/>
    <col min="10" max="13" width="12.7109375" style="72" customWidth="1"/>
    <col min="14" max="16384" width="9.140625" style="72" customWidth="1"/>
  </cols>
  <sheetData>
    <row r="1" spans="1:12" ht="12.75">
      <c r="A1" s="288" t="s">
        <v>278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1"/>
    </row>
    <row r="2" spans="1:12" ht="15.75">
      <c r="A2" s="39"/>
      <c r="B2" s="70"/>
      <c r="C2" s="298" t="s">
        <v>279</v>
      </c>
      <c r="D2" s="298"/>
      <c r="E2" s="73" t="s">
        <v>319</v>
      </c>
      <c r="F2" s="40" t="s">
        <v>248</v>
      </c>
      <c r="G2" s="299" t="s">
        <v>362</v>
      </c>
      <c r="H2" s="300"/>
      <c r="I2" s="70"/>
      <c r="J2" s="70"/>
      <c r="K2" s="70"/>
      <c r="L2" s="74"/>
    </row>
    <row r="3" spans="1:11" ht="34.5">
      <c r="A3" s="301" t="s">
        <v>59</v>
      </c>
      <c r="B3" s="301"/>
      <c r="C3" s="301"/>
      <c r="D3" s="301"/>
      <c r="E3" s="301"/>
      <c r="F3" s="301"/>
      <c r="G3" s="301"/>
      <c r="H3" s="301"/>
      <c r="I3" s="77" t="s">
        <v>302</v>
      </c>
      <c r="J3" s="78" t="s">
        <v>357</v>
      </c>
      <c r="K3" s="63" t="s">
        <v>367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0">
        <v>2</v>
      </c>
      <c r="J4" s="79" t="s">
        <v>280</v>
      </c>
      <c r="K4" s="79" t="s">
        <v>281</v>
      </c>
    </row>
    <row r="5" spans="1:12" ht="12.75">
      <c r="A5" s="290" t="s">
        <v>282</v>
      </c>
      <c r="B5" s="291"/>
      <c r="C5" s="291"/>
      <c r="D5" s="291"/>
      <c r="E5" s="291"/>
      <c r="F5" s="291"/>
      <c r="G5" s="291"/>
      <c r="H5" s="291"/>
      <c r="I5" s="41">
        <v>1</v>
      </c>
      <c r="J5" s="42">
        <v>300000000</v>
      </c>
      <c r="K5" s="42">
        <v>300000000</v>
      </c>
      <c r="L5" s="136"/>
    </row>
    <row r="6" spans="1:13" ht="12.75">
      <c r="A6" s="290" t="s">
        <v>283</v>
      </c>
      <c r="B6" s="291"/>
      <c r="C6" s="291"/>
      <c r="D6" s="291"/>
      <c r="E6" s="291"/>
      <c r="F6" s="291"/>
      <c r="G6" s="291"/>
      <c r="H6" s="291"/>
      <c r="I6" s="41">
        <v>2</v>
      </c>
      <c r="J6" s="43"/>
      <c r="K6" s="43"/>
      <c r="L6" s="136"/>
      <c r="M6" s="136"/>
    </row>
    <row r="7" spans="1:11" ht="12.75">
      <c r="A7" s="290" t="s">
        <v>284</v>
      </c>
      <c r="B7" s="291"/>
      <c r="C7" s="291"/>
      <c r="D7" s="291"/>
      <c r="E7" s="291"/>
      <c r="F7" s="291"/>
      <c r="G7" s="291"/>
      <c r="H7" s="291"/>
      <c r="I7" s="41">
        <v>3</v>
      </c>
      <c r="J7" s="43">
        <v>15000000</v>
      </c>
      <c r="K7" s="43">
        <v>15000000</v>
      </c>
    </row>
    <row r="8" spans="1:12" ht="12.75">
      <c r="A8" s="290" t="s">
        <v>285</v>
      </c>
      <c r="B8" s="291"/>
      <c r="C8" s="291"/>
      <c r="D8" s="291"/>
      <c r="E8" s="291"/>
      <c r="F8" s="291"/>
      <c r="G8" s="291"/>
      <c r="H8" s="291"/>
      <c r="I8" s="41">
        <v>4</v>
      </c>
      <c r="J8" s="43">
        <v>705639668</v>
      </c>
      <c r="K8" s="43">
        <v>780959909</v>
      </c>
      <c r="L8" s="135"/>
    </row>
    <row r="9" spans="1:12" ht="12.75">
      <c r="A9" s="290" t="s">
        <v>286</v>
      </c>
      <c r="B9" s="291"/>
      <c r="C9" s="291"/>
      <c r="D9" s="291"/>
      <c r="E9" s="291"/>
      <c r="F9" s="291"/>
      <c r="G9" s="291"/>
      <c r="H9" s="291"/>
      <c r="I9" s="41">
        <v>5</v>
      </c>
      <c r="J9" s="43">
        <v>75320241</v>
      </c>
      <c r="K9" s="43">
        <f>35445068.32-34081727</f>
        <v>1363341.3200000003</v>
      </c>
      <c r="L9" s="135"/>
    </row>
    <row r="10" spans="1:11" ht="12.75">
      <c r="A10" s="290" t="s">
        <v>287</v>
      </c>
      <c r="B10" s="291"/>
      <c r="C10" s="291"/>
      <c r="D10" s="291"/>
      <c r="E10" s="291"/>
      <c r="F10" s="291"/>
      <c r="G10" s="291"/>
      <c r="H10" s="291"/>
      <c r="I10" s="41">
        <v>6</v>
      </c>
      <c r="J10" s="43"/>
      <c r="K10" s="43"/>
    </row>
    <row r="11" spans="1:11" ht="12.75">
      <c r="A11" s="290" t="s">
        <v>288</v>
      </c>
      <c r="B11" s="291"/>
      <c r="C11" s="291"/>
      <c r="D11" s="291"/>
      <c r="E11" s="291"/>
      <c r="F11" s="291"/>
      <c r="G11" s="291"/>
      <c r="H11" s="291"/>
      <c r="I11" s="41">
        <v>7</v>
      </c>
      <c r="J11" s="43"/>
      <c r="K11" s="43"/>
    </row>
    <row r="12" spans="1:11" ht="12.75">
      <c r="A12" s="290" t="s">
        <v>289</v>
      </c>
      <c r="B12" s="291"/>
      <c r="C12" s="291"/>
      <c r="D12" s="291"/>
      <c r="E12" s="291"/>
      <c r="F12" s="291"/>
      <c r="G12" s="291"/>
      <c r="H12" s="291"/>
      <c r="I12" s="41">
        <v>8</v>
      </c>
      <c r="J12" s="43"/>
      <c r="K12" s="43"/>
    </row>
    <row r="13" spans="1:11" ht="12.75">
      <c r="A13" s="290" t="s">
        <v>290</v>
      </c>
      <c r="B13" s="291"/>
      <c r="C13" s="291"/>
      <c r="D13" s="291"/>
      <c r="E13" s="291"/>
      <c r="F13" s="291"/>
      <c r="G13" s="291"/>
      <c r="H13" s="291"/>
      <c r="I13" s="41">
        <v>9</v>
      </c>
      <c r="J13" s="43"/>
      <c r="K13" s="43"/>
    </row>
    <row r="14" spans="1:12" ht="12.75">
      <c r="A14" s="292" t="s">
        <v>291</v>
      </c>
      <c r="B14" s="293"/>
      <c r="C14" s="293"/>
      <c r="D14" s="293"/>
      <c r="E14" s="293"/>
      <c r="F14" s="293"/>
      <c r="G14" s="293"/>
      <c r="H14" s="293"/>
      <c r="I14" s="41">
        <v>10</v>
      </c>
      <c r="J14" s="75">
        <f>SUM(J5:J13)</f>
        <v>1095959909</v>
      </c>
      <c r="K14" s="75">
        <f>SUM(K5:K13)</f>
        <v>1097323250.32</v>
      </c>
      <c r="L14" s="135"/>
    </row>
    <row r="15" spans="1:11" ht="12.75">
      <c r="A15" s="290" t="s">
        <v>292</v>
      </c>
      <c r="B15" s="291"/>
      <c r="C15" s="291"/>
      <c r="D15" s="291"/>
      <c r="E15" s="291"/>
      <c r="F15" s="291"/>
      <c r="G15" s="291"/>
      <c r="H15" s="291"/>
      <c r="I15" s="41">
        <v>11</v>
      </c>
      <c r="J15" s="43"/>
      <c r="K15" s="43"/>
    </row>
    <row r="16" spans="1:11" ht="12.75">
      <c r="A16" s="290" t="s">
        <v>293</v>
      </c>
      <c r="B16" s="291"/>
      <c r="C16" s="291"/>
      <c r="D16" s="291"/>
      <c r="E16" s="291"/>
      <c r="F16" s="291"/>
      <c r="G16" s="291"/>
      <c r="H16" s="291"/>
      <c r="I16" s="41">
        <v>12</v>
      </c>
      <c r="J16" s="43"/>
      <c r="K16" s="43"/>
    </row>
    <row r="17" spans="1:11" ht="12.75">
      <c r="A17" s="290" t="s">
        <v>294</v>
      </c>
      <c r="B17" s="291"/>
      <c r="C17" s="291"/>
      <c r="D17" s="291"/>
      <c r="E17" s="291"/>
      <c r="F17" s="291"/>
      <c r="G17" s="291"/>
      <c r="H17" s="291"/>
      <c r="I17" s="41">
        <v>13</v>
      </c>
      <c r="J17" s="43"/>
      <c r="K17" s="43"/>
    </row>
    <row r="18" spans="1:11" ht="12.75">
      <c r="A18" s="290" t="s">
        <v>295</v>
      </c>
      <c r="B18" s="291"/>
      <c r="C18" s="291"/>
      <c r="D18" s="291"/>
      <c r="E18" s="291"/>
      <c r="F18" s="291"/>
      <c r="G18" s="291"/>
      <c r="H18" s="291"/>
      <c r="I18" s="41">
        <v>14</v>
      </c>
      <c r="J18" s="43"/>
      <c r="K18" s="43"/>
    </row>
    <row r="19" spans="1:11" ht="12.75">
      <c r="A19" s="290" t="s">
        <v>296</v>
      </c>
      <c r="B19" s="291"/>
      <c r="C19" s="291"/>
      <c r="D19" s="291"/>
      <c r="E19" s="291"/>
      <c r="F19" s="291"/>
      <c r="G19" s="291"/>
      <c r="H19" s="291"/>
      <c r="I19" s="41">
        <v>15</v>
      </c>
      <c r="J19" s="43"/>
      <c r="K19" s="43"/>
    </row>
    <row r="20" spans="1:12" ht="12.75">
      <c r="A20" s="290" t="s">
        <v>297</v>
      </c>
      <c r="B20" s="291"/>
      <c r="C20" s="291"/>
      <c r="D20" s="291"/>
      <c r="E20" s="291"/>
      <c r="F20" s="291"/>
      <c r="G20" s="291"/>
      <c r="H20" s="291"/>
      <c r="I20" s="41">
        <v>16</v>
      </c>
      <c r="J20" s="43">
        <v>75320241</v>
      </c>
      <c r="K20" s="43">
        <f>35445068.32-34081727</f>
        <v>1363341.3200000003</v>
      </c>
      <c r="L20" s="135"/>
    </row>
    <row r="21" spans="1:11" ht="12.75">
      <c r="A21" s="292" t="s">
        <v>298</v>
      </c>
      <c r="B21" s="293"/>
      <c r="C21" s="293"/>
      <c r="D21" s="293"/>
      <c r="E21" s="293"/>
      <c r="F21" s="293"/>
      <c r="G21" s="293"/>
      <c r="H21" s="293"/>
      <c r="I21" s="41">
        <v>17</v>
      </c>
      <c r="J21" s="76">
        <f>SUM(J15:J20)</f>
        <v>75320241</v>
      </c>
      <c r="K21" s="76">
        <f>SUM(K15:K20)</f>
        <v>1363341.3200000003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299</v>
      </c>
      <c r="B23" s="283"/>
      <c r="C23" s="283"/>
      <c r="D23" s="283"/>
      <c r="E23" s="283"/>
      <c r="F23" s="283"/>
      <c r="G23" s="283"/>
      <c r="H23" s="283"/>
      <c r="I23" s="44">
        <v>18</v>
      </c>
      <c r="J23" s="42"/>
      <c r="K23" s="42"/>
    </row>
    <row r="24" spans="1:11" ht="17.25" customHeight="1">
      <c r="A24" s="284" t="s">
        <v>300</v>
      </c>
      <c r="B24" s="285"/>
      <c r="C24" s="285"/>
      <c r="D24" s="285"/>
      <c r="E24" s="285"/>
      <c r="F24" s="285"/>
      <c r="G24" s="285"/>
      <c r="H24" s="285"/>
      <c r="I24" s="45">
        <v>19</v>
      </c>
      <c r="J24" s="76"/>
      <c r="K24" s="76"/>
    </row>
    <row r="25" spans="1:11" ht="30" customHeight="1">
      <c r="A25" s="286" t="s">
        <v>301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8" width="8.7109375" style="49" customWidth="1"/>
    <col min="9" max="9" width="5.7109375" style="49" customWidth="1"/>
    <col min="10" max="11" width="12.7109375" style="49" customWidth="1"/>
    <col min="12" max="12" width="13.8515625" style="49" bestFit="1" customWidth="1"/>
    <col min="13" max="13" width="10.7109375" style="49" bestFit="1" customWidth="1"/>
    <col min="14" max="16384" width="9.140625" style="49" customWidth="1"/>
  </cols>
  <sheetData>
    <row r="1" spans="1:11" ht="12.75" customHeight="1">
      <c r="A1" s="275" t="s">
        <v>162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307" t="s">
        <v>365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1" ht="12.75">
      <c r="A3" s="304" t="s">
        <v>318</v>
      </c>
      <c r="B3" s="305"/>
      <c r="C3" s="305"/>
      <c r="D3" s="305"/>
      <c r="E3" s="305"/>
      <c r="F3" s="305"/>
      <c r="G3" s="305"/>
      <c r="H3" s="305"/>
      <c r="I3" s="305"/>
      <c r="J3" s="305"/>
      <c r="K3" s="306"/>
    </row>
    <row r="4" spans="1:11" ht="34.5">
      <c r="A4" s="277" t="s">
        <v>59</v>
      </c>
      <c r="B4" s="277"/>
      <c r="C4" s="277"/>
      <c r="D4" s="277"/>
      <c r="E4" s="277"/>
      <c r="F4" s="277"/>
      <c r="G4" s="277"/>
      <c r="H4" s="277"/>
      <c r="I4" s="62" t="s">
        <v>277</v>
      </c>
      <c r="J4" s="63" t="s">
        <v>369</v>
      </c>
      <c r="K4" s="63" t="s">
        <v>370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4">
        <v>2</v>
      </c>
      <c r="J5" s="65" t="s">
        <v>280</v>
      </c>
      <c r="K5" s="65" t="s">
        <v>281</v>
      </c>
    </row>
    <row r="6" spans="1:11" ht="12.75">
      <c r="A6" s="233" t="s">
        <v>154</v>
      </c>
      <c r="B6" s="249"/>
      <c r="C6" s="249"/>
      <c r="D6" s="249"/>
      <c r="E6" s="249"/>
      <c r="F6" s="249"/>
      <c r="G6" s="249"/>
      <c r="H6" s="249"/>
      <c r="I6" s="272"/>
      <c r="J6" s="272"/>
      <c r="K6" s="273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93653612</v>
      </c>
      <c r="K7" s="7">
        <f>+RDG!L45</f>
        <v>4851697.370000601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44117619</v>
      </c>
      <c r="K8" s="7">
        <f>+RDG!L20</f>
        <v>39552479.5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51156000</v>
      </c>
      <c r="K9" s="7"/>
    </row>
    <row r="10" spans="1:12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/>
      <c r="K10" s="7">
        <f>53906003</f>
        <v>53906003</v>
      </c>
      <c r="L10" s="123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>
        <v>5986775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/>
      <c r="K12" s="7"/>
    </row>
    <row r="13" spans="1:11" ht="12.75">
      <c r="A13" s="224" t="s">
        <v>155</v>
      </c>
      <c r="B13" s="225"/>
      <c r="C13" s="225"/>
      <c r="D13" s="225"/>
      <c r="E13" s="225"/>
      <c r="F13" s="225"/>
      <c r="G13" s="225"/>
      <c r="H13" s="225"/>
      <c r="I13" s="1">
        <v>7</v>
      </c>
      <c r="J13" s="128">
        <f>SUM(J7:J12)</f>
        <v>188927231</v>
      </c>
      <c r="K13" s="126">
        <f>SUM(K7:K12)</f>
        <v>104296954.8700006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/>
      <c r="K14" s="7">
        <f>78100149</f>
        <v>78100149</v>
      </c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45499000</v>
      </c>
      <c r="K15" s="7"/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5530000</v>
      </c>
      <c r="K16" s="7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>
        <v>13836240</v>
      </c>
      <c r="K17" s="7">
        <f>37974134.87+905450-34081727</f>
        <v>4797857.869999997</v>
      </c>
    </row>
    <row r="18" spans="1:11" ht="12.75">
      <c r="A18" s="224" t="s">
        <v>156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8">
        <f>SUM(J14:J17)</f>
        <v>64865240</v>
      </c>
      <c r="K18" s="126">
        <f>SUM(K14:K17)</f>
        <v>82898006.87</v>
      </c>
    </row>
    <row r="19" spans="1:12" ht="24.75" customHeight="1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128">
        <f>IF(J13&gt;J18,J13-J18,0)</f>
        <v>124061991</v>
      </c>
      <c r="K19" s="126">
        <f>IF(K13&gt;K18,K13-K18,0)</f>
        <v>21398948.000000596</v>
      </c>
      <c r="L19" s="123"/>
    </row>
    <row r="20" spans="1:11" ht="24.75" customHeight="1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128">
        <f>IF(J18&gt;J13,J18-J13,0)</f>
        <v>0</v>
      </c>
      <c r="K20" s="126">
        <f>IF(K18&gt;K13,K18-K13,0)</f>
        <v>0</v>
      </c>
    </row>
    <row r="21" spans="1:11" ht="12.75">
      <c r="A21" s="233" t="s">
        <v>157</v>
      </c>
      <c r="B21" s="249"/>
      <c r="C21" s="249"/>
      <c r="D21" s="249"/>
      <c r="E21" s="249"/>
      <c r="F21" s="249"/>
      <c r="G21" s="249"/>
      <c r="H21" s="249"/>
      <c r="I21" s="272"/>
      <c r="J21" s="272"/>
      <c r="K21" s="273"/>
    </row>
    <row r="22" spans="1:11" ht="12.75">
      <c r="A22" s="227" t="s">
        <v>176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871815</v>
      </c>
      <c r="K22" s="7">
        <v>17316277</v>
      </c>
    </row>
    <row r="23" spans="1:12" ht="12.75">
      <c r="A23" s="227" t="s">
        <v>177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/>
      <c r="K23" s="7">
        <v>299651</v>
      </c>
      <c r="L23" s="123"/>
    </row>
    <row r="24" spans="1:11" ht="12.75">
      <c r="A24" s="227" t="s">
        <v>178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/>
      <c r="K24" s="7"/>
    </row>
    <row r="25" spans="1:11" ht="12.75">
      <c r="A25" s="227" t="s">
        <v>179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/>
      <c r="K25" s="7"/>
    </row>
    <row r="26" spans="1:11" ht="12.75">
      <c r="A26" s="227" t="s">
        <v>180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>
        <v>109301725</v>
      </c>
      <c r="K26" s="7"/>
    </row>
    <row r="27" spans="1:11" ht="12.75">
      <c r="A27" s="224" t="s">
        <v>166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8">
        <f>SUM(J22:J26)</f>
        <v>110173540</v>
      </c>
      <c r="K27" s="126">
        <f>SUM(K22:K26)</f>
        <v>17615928</v>
      </c>
    </row>
    <row r="28" spans="1:13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36519005</v>
      </c>
      <c r="K28" s="7">
        <v>35710996</v>
      </c>
      <c r="L28" s="130"/>
      <c r="M28" s="130"/>
    </row>
    <row r="29" spans="1:12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/>
      <c r="K29" s="7">
        <v>291322760</v>
      </c>
      <c r="L29" s="130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>
        <v>89217990</v>
      </c>
      <c r="K30" s="7">
        <v>53972112</v>
      </c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8">
        <f>SUM(J28:J30)</f>
        <v>125736995</v>
      </c>
      <c r="K31" s="126">
        <f>SUM(K28:K30)</f>
        <v>381005868</v>
      </c>
    </row>
    <row r="32" spans="1:12" ht="24.75" customHeight="1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128">
        <f>IF(J27&gt;J31,J27-J31,0)</f>
        <v>0</v>
      </c>
      <c r="K32" s="126">
        <f>IF(K27&gt;K31,K27-K31,0)</f>
        <v>0</v>
      </c>
      <c r="L32" s="123"/>
    </row>
    <row r="33" spans="1:11" ht="24.75" customHeight="1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128">
        <f>IF(J31&gt;J27,J31-J27,0)</f>
        <v>15563455</v>
      </c>
      <c r="K33" s="126">
        <f>IF(K31&gt;K27,K31-K27,0)</f>
        <v>363389940</v>
      </c>
    </row>
    <row r="34" spans="1:11" ht="12.75">
      <c r="A34" s="233" t="s">
        <v>158</v>
      </c>
      <c r="B34" s="249"/>
      <c r="C34" s="249"/>
      <c r="D34" s="249"/>
      <c r="E34" s="249"/>
      <c r="F34" s="249"/>
      <c r="G34" s="249"/>
      <c r="H34" s="249"/>
      <c r="I34" s="272"/>
      <c r="J34" s="272"/>
      <c r="K34" s="273"/>
    </row>
    <row r="35" spans="1:11" ht="12.75">
      <c r="A35" s="227" t="s">
        <v>172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/>
      <c r="K35" s="7"/>
    </row>
    <row r="36" spans="1:12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26416255</v>
      </c>
      <c r="K36" s="7">
        <v>309152450</v>
      </c>
      <c r="L36" s="130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11231740</v>
      </c>
      <c r="K37" s="7">
        <v>31933092</v>
      </c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8">
        <f>SUM(J35:J37)</f>
        <v>37647995</v>
      </c>
      <c r="K38" s="126">
        <f>SUM(K35:K37)</f>
        <v>341085542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133838690</v>
      </c>
      <c r="K39" s="7"/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8">
        <f>SUM(J39:J43)</f>
        <v>133838690</v>
      </c>
      <c r="K44" s="126">
        <f>SUM(K39:K43)</f>
        <v>0</v>
      </c>
    </row>
    <row r="45" spans="1:12" ht="24.75" customHeight="1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128">
        <f>IF(J38&gt;J44,J38-J44,0)</f>
        <v>0</v>
      </c>
      <c r="K45" s="126">
        <f>IF(K38&gt;K44,K38-K44,0)</f>
        <v>341085542</v>
      </c>
      <c r="L45" s="123"/>
    </row>
    <row r="46" spans="1:12" ht="24.75" customHeight="1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128">
        <f>IF(J44&gt;J38,J44-J38,0)</f>
        <v>96190695</v>
      </c>
      <c r="K46" s="126">
        <f>IF(K44&gt;K38,K44-K38,0)</f>
        <v>0</v>
      </c>
      <c r="L46" s="123"/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60">
        <f>IF(J19-J20+J32-J33+J45-J46&gt;0,J19-J20+J32-J33+J45-J46,0)</f>
        <v>12307841</v>
      </c>
      <c r="K47" s="50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60">
        <f>IF(J20-J19+J33-J32+J46-J45&gt;0,J20-J19+J33-J32+J46-J45,0)</f>
        <v>0</v>
      </c>
      <c r="K48" s="50">
        <f>IF(K20-K19+K33-K32+K46-K45&gt;0,K20-K19+K33-K32+K46-K45,0)</f>
        <v>905449.999999404</v>
      </c>
    </row>
    <row r="49" spans="1:11" ht="12.75">
      <c r="A49" s="227" t="s">
        <v>159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21104773</v>
      </c>
      <c r="K49" s="7">
        <v>33412614</v>
      </c>
    </row>
    <row r="50" spans="1:11" ht="12.75">
      <c r="A50" s="227" t="s">
        <v>173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>
        <v>12307841</v>
      </c>
      <c r="K50" s="7"/>
    </row>
    <row r="51" spans="1:11" ht="12.75">
      <c r="A51" s="227" t="s">
        <v>174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/>
      <c r="K51" s="7">
        <v>905450</v>
      </c>
    </row>
    <row r="52" spans="1:13" ht="12.75">
      <c r="A52" s="239" t="s">
        <v>175</v>
      </c>
      <c r="B52" s="240"/>
      <c r="C52" s="240"/>
      <c r="D52" s="240"/>
      <c r="E52" s="240"/>
      <c r="F52" s="240"/>
      <c r="G52" s="240"/>
      <c r="H52" s="240"/>
      <c r="I52" s="4">
        <v>44</v>
      </c>
      <c r="J52" s="57">
        <v>33412614</v>
      </c>
      <c r="K52" s="57">
        <f>K49+K50-K51</f>
        <v>32507164</v>
      </c>
      <c r="M52" s="123"/>
    </row>
    <row r="54" spans="10:11" ht="12.75">
      <c r="J54" s="123">
        <f>+J47-J50</f>
        <v>0</v>
      </c>
      <c r="K54" s="123">
        <f>+K47-K50</f>
        <v>0</v>
      </c>
    </row>
    <row r="55" spans="10:11" ht="12.75">
      <c r="J55" s="123">
        <f>+J48-J51</f>
        <v>0</v>
      </c>
      <c r="K55" s="123">
        <f>+K48-K51</f>
        <v>-5.960464477539062E-07</v>
      </c>
    </row>
    <row r="56" spans="10:11" ht="12.75">
      <c r="J56" s="123">
        <f>SUM(J54:J55)</f>
        <v>0</v>
      </c>
      <c r="K56" s="123">
        <f>SUM(K54:K55)</f>
        <v>-5.960464477539062E-07</v>
      </c>
    </row>
    <row r="57" spans="10:11" ht="12.75">
      <c r="J57" s="123"/>
      <c r="K57" s="123"/>
    </row>
    <row r="58" ht="12.75">
      <c r="K58" s="123"/>
    </row>
    <row r="59" ht="12.75">
      <c r="K59" s="123"/>
    </row>
    <row r="60" ht="12.75">
      <c r="K60" s="123"/>
    </row>
    <row r="61" ht="12.75">
      <c r="K61" s="12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1:H11"/>
    <mergeCell ref="A12:H12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</mergeCells>
  <dataValidations count="2">
    <dataValidation allowBlank="1" sqref="A1:I65536 J26:J65536 J1:J24 K1:IV65536"/>
    <dataValidation type="whole" operator="notEqual" allowBlank="1" showInputMessage="1" showErrorMessage="1" errorTitle="Pogrešan unos" error="Mogu se unijeti samo cjelobrojne vrijednosti." sqref="J25">
      <formula1>9999999998</formula1>
    </dataValidation>
  </dataValidation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95.7109375" style="142" customWidth="1"/>
    <col min="2" max="16384" width="9.140625" style="142" customWidth="1"/>
  </cols>
  <sheetData>
    <row r="1" spans="1:6" ht="15.75">
      <c r="A1" s="125" t="s">
        <v>332</v>
      </c>
      <c r="B1" s="125"/>
      <c r="C1" s="125"/>
      <c r="D1" s="125"/>
      <c r="E1" s="125"/>
      <c r="F1" s="125"/>
    </row>
    <row r="2" spans="1:6" ht="12.75">
      <c r="A2" s="143"/>
      <c r="B2" s="143"/>
      <c r="C2" s="143"/>
      <c r="D2" s="143"/>
      <c r="E2" s="143"/>
      <c r="F2" s="143"/>
    </row>
    <row r="3" spans="1:6" ht="12.75">
      <c r="A3" s="144" t="s">
        <v>333</v>
      </c>
      <c r="B3" s="144"/>
      <c r="C3" s="144"/>
      <c r="D3" s="144"/>
      <c r="E3" s="144"/>
      <c r="F3" s="144"/>
    </row>
    <row r="4" spans="1:6" ht="12.75">
      <c r="A4" s="144" t="s">
        <v>334</v>
      </c>
      <c r="B4" s="144"/>
      <c r="C4" s="144"/>
      <c r="D4" s="144"/>
      <c r="E4" s="144"/>
      <c r="F4" s="144"/>
    </row>
    <row r="5" spans="1:6" ht="12.75">
      <c r="A5" s="144" t="s">
        <v>335</v>
      </c>
      <c r="B5" s="144"/>
      <c r="C5" s="144"/>
      <c r="D5" s="144"/>
      <c r="E5" s="144"/>
      <c r="F5" s="144"/>
    </row>
    <row r="6" spans="1:6" ht="12.75">
      <c r="A6" s="141" t="s">
        <v>381</v>
      </c>
      <c r="B6" s="144"/>
      <c r="C6" s="144"/>
      <c r="D6" s="144"/>
      <c r="E6" s="144"/>
      <c r="F6" s="144"/>
    </row>
    <row r="7" spans="1:6" ht="12.75">
      <c r="A7" s="144" t="s">
        <v>336</v>
      </c>
      <c r="B7" s="144"/>
      <c r="C7" s="144"/>
      <c r="D7" s="144"/>
      <c r="E7" s="144"/>
      <c r="F7" s="144"/>
    </row>
    <row r="8" spans="1:6" ht="12.75">
      <c r="A8" s="144" t="s">
        <v>337</v>
      </c>
      <c r="B8" s="144"/>
      <c r="C8" s="144"/>
      <c r="D8" s="144"/>
      <c r="E8" s="144"/>
      <c r="F8" s="144"/>
    </row>
    <row r="9" spans="1:6" ht="12.75">
      <c r="A9" s="144" t="s">
        <v>338</v>
      </c>
      <c r="B9" s="144"/>
      <c r="C9" s="144"/>
      <c r="D9" s="144"/>
      <c r="E9" s="144"/>
      <c r="F9" s="144"/>
    </row>
    <row r="10" spans="1:6" ht="12.75">
      <c r="A10" s="141" t="s">
        <v>371</v>
      </c>
      <c r="B10" s="144"/>
      <c r="C10" s="144"/>
      <c r="D10" s="144"/>
      <c r="E10" s="144"/>
      <c r="F10" s="144"/>
    </row>
    <row r="11" spans="1:6" ht="12.75">
      <c r="A11" s="140" t="s">
        <v>372</v>
      </c>
      <c r="B11" s="144"/>
      <c r="C11" s="144"/>
      <c r="D11" s="144"/>
      <c r="E11" s="144"/>
      <c r="F11" s="144"/>
    </row>
    <row r="12" spans="1:6" ht="15">
      <c r="A12" s="144" t="s">
        <v>339</v>
      </c>
      <c r="B12" s="144"/>
      <c r="C12" s="144"/>
      <c r="D12" s="144"/>
      <c r="E12" s="145"/>
      <c r="F12" s="144"/>
    </row>
    <row r="13" spans="1:6" ht="12.75">
      <c r="A13" s="144" t="s">
        <v>340</v>
      </c>
      <c r="B13" s="144"/>
      <c r="C13" s="144"/>
      <c r="D13" s="144"/>
      <c r="E13" s="144"/>
      <c r="F13" s="144"/>
    </row>
    <row r="14" spans="1:6" ht="12.75">
      <c r="A14" s="144" t="s">
        <v>341</v>
      </c>
      <c r="B14" s="144"/>
      <c r="C14" s="144"/>
      <c r="D14" s="144"/>
      <c r="E14" s="144"/>
      <c r="F14" s="144"/>
    </row>
    <row r="15" ht="12.75">
      <c r="A15" s="142" t="s">
        <v>342</v>
      </c>
    </row>
    <row r="16" ht="12.75">
      <c r="A16" s="67" t="s">
        <v>375</v>
      </c>
    </row>
    <row r="17" ht="12.75">
      <c r="A17" s="144" t="s">
        <v>376</v>
      </c>
    </row>
    <row r="18" ht="12.75">
      <c r="A18" s="141" t="s">
        <v>373</v>
      </c>
    </row>
    <row r="19" ht="12.75">
      <c r="A19" s="141" t="s">
        <v>379</v>
      </c>
    </row>
    <row r="20" ht="12.75">
      <c r="A20" s="141" t="s">
        <v>374</v>
      </c>
    </row>
    <row r="21" ht="12.75">
      <c r="A21" s="142" t="s">
        <v>382</v>
      </c>
    </row>
    <row r="22" ht="12.75">
      <c r="A22" s="142" t="s">
        <v>383</v>
      </c>
    </row>
    <row r="23" ht="12.75">
      <c r="A23" s="141" t="s">
        <v>386</v>
      </c>
    </row>
    <row r="24" ht="12.75">
      <c r="A24" s="142" t="s">
        <v>343</v>
      </c>
    </row>
    <row r="25" ht="12.75">
      <c r="A25" s="142" t="s">
        <v>344</v>
      </c>
    </row>
    <row r="26" ht="12.75">
      <c r="A26" s="142" t="s">
        <v>345</v>
      </c>
    </row>
    <row r="27" ht="12.75">
      <c r="A27" s="142" t="s">
        <v>346</v>
      </c>
    </row>
    <row r="28" ht="12.75">
      <c r="A28" s="142" t="s">
        <v>347</v>
      </c>
    </row>
    <row r="29" ht="12.75">
      <c r="A29" s="142" t="s">
        <v>348</v>
      </c>
    </row>
    <row r="30" ht="12.75">
      <c r="A30" s="49" t="s">
        <v>377</v>
      </c>
    </row>
    <row r="31" ht="12.75">
      <c r="A31" s="49" t="s">
        <v>380</v>
      </c>
    </row>
    <row r="32" ht="12.75">
      <c r="A32" s="49" t="s">
        <v>378</v>
      </c>
    </row>
    <row r="33" ht="12.75">
      <c r="A33" s="142" t="s">
        <v>349</v>
      </c>
    </row>
    <row r="34" ht="12.75">
      <c r="A34" t="s">
        <v>384</v>
      </c>
    </row>
    <row r="35" ht="12.75">
      <c r="A35" t="s">
        <v>385</v>
      </c>
    </row>
    <row r="36" ht="12.75">
      <c r="A36" s="142" t="s">
        <v>350</v>
      </c>
    </row>
    <row r="37" ht="12.75">
      <c r="A37" s="142" t="s">
        <v>351</v>
      </c>
    </row>
    <row r="38" ht="12.75">
      <c r="A38" s="142" t="s">
        <v>352</v>
      </c>
    </row>
    <row r="39" ht="12.75">
      <c r="A39" s="142" t="s">
        <v>353</v>
      </c>
    </row>
    <row r="40" ht="12.75">
      <c r="A40" s="142" t="s">
        <v>354</v>
      </c>
    </row>
    <row r="41" ht="12.75">
      <c r="A41" s="142" t="s">
        <v>355</v>
      </c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11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bklaric</cp:lastModifiedBy>
  <cp:lastPrinted>2014-02-14T10:41:55Z</cp:lastPrinted>
  <dcterms:created xsi:type="dcterms:W3CDTF">2008-10-17T11:51:54Z</dcterms:created>
  <dcterms:modified xsi:type="dcterms:W3CDTF">2014-02-14T10:50:21Z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