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0">'OPĆI PODACI'!$A$1:$I$63</definedName>
    <definedName name="_xlnm.Print_Area" localSheetId="5">'PK'!$A$1:$K$25</definedName>
  </definedNames>
  <calcPr calcMode="manual" fullCalcOnLoad="1"/>
</workbook>
</file>

<file path=xl/sharedStrings.xml><?xml version="1.0" encoding="utf-8"?>
<sst xmlns="http://schemas.openxmlformats.org/spreadsheetml/2006/main" count="428" uniqueCount="367">
  <si>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</si>
  <si>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</si>
  <si>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</si>
  <si>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</si>
  <si>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</si>
  <si>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</si>
  <si>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</si>
  <si>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</si>
  <si>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</si>
  <si>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</si>
  <si>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</si>
  <si>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</si>
  <si>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</si>
  <si>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</si>
  <si>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</si>
  <si>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</si>
  <si>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</si>
  <si>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</si>
  <si>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</si>
  <si>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</si>
  <si>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</si>
  <si>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</si>
  <si>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</si>
  <si>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</si>
  <si>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</si>
  <si>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</si>
  <si>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</si>
  <si>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</si>
  <si>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</si>
  <si>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</si>
  <si>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</si>
  <si>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</si>
  <si>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</si>
  <si>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</si>
  <si>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</si>
  <si>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</si>
  <si>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</si>
  <si>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</si>
  <si>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</si>
  <si>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</si>
  <si>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</si>
  <si>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</si>
  <si>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</si>
  <si>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</si>
  <si>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</si>
  <si>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</si>
  <si>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</si>
  <si>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</si>
  <si>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</si>
  <si>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</si>
  <si>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</si>
  <si>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</si>
  <si>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</si>
  <si>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</si>
  <si>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</si>
  <si>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</si>
  <si>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</si>
  <si>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</si>
  <si>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</si>
  <si>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</si>
  <si>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</si>
  <si>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</si>
  <si>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</si>
  <si>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</si>
  <si>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</si>
  <si>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</si>
  <si>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</si>
  <si>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</si>
  <si>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</si>
  <si>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</si>
  <si>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</si>
  <si>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</si>
  <si>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</si>
  <si>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</si>
  <si>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</si>
  <si>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</si>
  <si>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</si>
  <si>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</si>
  <si>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</si>
  <si>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</si>
  <si>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</si>
  <si>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</si>
  <si>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</si>
  <si>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</si>
  <si>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</si>
  <si>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</si>
  <si>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</si>
  <si>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</si>
  <si>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</si>
  <si>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</si>
  <si>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</si>
  <si>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</si>
  <si>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</si>
  <si>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</si>
  <si>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</si>
  <si>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</si>
  <si>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</si>
  <si>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</si>
  <si>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</si>
  <si>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</si>
  <si>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</si>
  <si>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</si>
  <si>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</si>
  <si>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</si>
  <si>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</si>
  <si>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</si>
  <si>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</si>
  <si>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</si>
  <si>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</si>
  <si>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</si>
  <si>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</si>
  <si>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</si>
  <si>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</si>
  <si>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</si>
  <si>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</si>
  <si>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</si>
  <si>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</si>
  <si>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</si>
  <si>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</si>
  <si>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</si>
  <si>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</si>
  <si>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</si>
  <si>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</si>
  <si>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</si>
  <si>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</si>
  <si>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</si>
  <si>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</si>
  <si>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</si>
  <si>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</si>
  <si>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</si>
  <si>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</si>
  <si>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</si>
  <si>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</si>
  <si>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</si>
  <si>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</si>
  <si>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</si>
  <si>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</si>
  <si>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</si>
  <si>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</si>
  <si>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</si>
  <si>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</si>
  <si>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</si>
  <si>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</si>
  <si>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</si>
  <si>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</si>
  <si>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</si>
  <si>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</si>
  <si>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</si>
  <si>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</si>
  <si>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</si>
  <si>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</si>
  <si>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</si>
  <si>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</si>
  <si>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</si>
  <si>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</si>
  <si>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</si>
  <si>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</si>
  <si>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</si>
  <si>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</si>
  <si>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</si>
  <si>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</si>
  <si>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</si>
  <si>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</si>
  <si>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</si>
  <si>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</si>
  <si>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</si>
  <si>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</si>
  <si>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</si>
  <si>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</si>
  <si>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</si>
  <si>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</si>
  <si>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</si>
  <si>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</si>
  <si>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</si>
  <si>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</si>
  <si>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</si>
  <si>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</si>
  <si>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</si>
  <si>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</si>
  <si>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</si>
  <si>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</si>
  <si>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</si>
  <si>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</si>
  <si>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</si>
  <si>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</si>
  <si>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</si>
  <si>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</si>
  <si>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</si>
  <si>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</si>
  <si>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</si>
  <si>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</si>
  <si>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</si>
  <si>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</si>
  <si>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</si>
  <si>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</si>
  <si>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</si>
  <si>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</si>
  <si>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</si>
  <si>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</si>
  <si>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</si>
  <si>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</si>
  <si>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</si>
  <si>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</si>
  <si>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</si>
  <si>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</si>
  <si>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</si>
  <si>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</si>
  <si>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</si>
  <si>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</si>
  <si>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</si>
  <si>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</si>
  <si>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</si>
  <si>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</si>
  <si>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</si>
  <si>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</si>
  <si>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</si>
  <si>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</si>
  <si>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</si>
  <si>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</si>
  <si>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</si>
  <si>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</si>
  <si>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</si>
  <si>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</si>
  <si>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</si>
  <si>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</si>
  <si>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</si>
  <si>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</si>
  <si>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</si>
  <si>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</si>
  <si>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</si>
  <si>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</si>
  <si>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</si>
  <si>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</si>
  <si>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</si>
  <si>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</si>
  <si>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</si>
  <si>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</si>
  <si>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</si>
  <si>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</si>
  <si>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</si>
  <si>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</si>
  <si>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</si>
  <si>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</si>
  <si>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</si>
  <si>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</si>
  <si>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</si>
  <si>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</si>
  <si>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</si>
  <si>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</si>
  <si>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</si>
  <si>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</si>
  <si>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</si>
  <si>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</si>
  <si>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</si>
  <si>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</si>
  <si>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</si>
  <si>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</si>
  <si>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</si>
  <si>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</si>
  <si>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</si>
  <si>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</si>
  <si>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</si>
  <si>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</si>
  <si>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</si>
  <si>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</si>
  <si>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</si>
  <si>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</si>
  <si>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</si>
  <si>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</si>
  <si>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</si>
  <si>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</si>
  <si>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</si>
  <si>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</si>
  <si>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</si>
  <si>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</si>
  <si>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</si>
  <si>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</si>
  <si>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</si>
  <si>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</si>
  <si>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</si>
  <si>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</si>
  <si>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</si>
  <si>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</si>
  <si>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</si>
  <si>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</si>
  <si>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</si>
  <si>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</si>
  <si>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</si>
  <si>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</si>
  <si>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</si>
  <si>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</si>
  <si>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</si>
  <si>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</si>
  <si>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</si>
  <si>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</si>
  <si>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</si>
  <si>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</si>
  <si>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</si>
  <si>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</si>
  <si>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</si>
  <si>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</si>
  <si>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</si>
  <si>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</si>
  <si>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</si>
  <si>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</si>
  <si>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</si>
  <si>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</si>
  <si>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</si>
  <si>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</si>
  <si>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</si>
  <si>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</si>
  <si>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</si>
  <si>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</si>
  <si>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</si>
  <si>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</si>
  <si>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</si>
  <si>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</si>
  <si>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</si>
  <si>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</si>
  <si>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</si>
  <si>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03040135</t>
  </si>
  <si>
    <t>04031685</t>
  </si>
  <si>
    <t>84596290185</t>
  </si>
  <si>
    <t>LOŠINJSKA PLOVIDBA HOLDING DD KONSOLIDIRANI</t>
  </si>
  <si>
    <t>MALI LOŠINJ</t>
  </si>
  <si>
    <t>PRIMORSKO-GORANSKA</t>
  </si>
  <si>
    <t>DA</t>
  </si>
  <si>
    <t>5020</t>
  </si>
  <si>
    <t>LOŠINJSKA PLOVIDBA BRODOGRADILIŠTE d.o.o.</t>
  </si>
  <si>
    <t>03040143</t>
  </si>
  <si>
    <t>LOŠINJSKA PLOVIDBA TURIZAM d.o.o.</t>
  </si>
  <si>
    <t>03040160</t>
  </si>
  <si>
    <t>Obveznik: LOŠINJSKA PLOVIDBA HOLDING d.d. KONSOLIDIRANI_____________________________________________________________</t>
  </si>
  <si>
    <t>U promatranom razdoblju društvo nije obavilo podjelu dionica.</t>
  </si>
  <si>
    <t>Zarada po dionici je u okviru plana.</t>
  </si>
  <si>
    <t>Nije bilo značajnih promjena u strukturi vlasništva dioničkog društva kroz godinu tako da nema ni utjecaja na poslovanje.</t>
  </si>
  <si>
    <t>Društvo nije izvršilo nikakva pripajanja ili spajanja i nema nikakvih namjera za buduće razdoblje.</t>
  </si>
  <si>
    <t>Postoji više sudskih postupaka i neizvjesnih potraživanja koja se pokušavaju riješiti.</t>
  </si>
  <si>
    <t>Djelatnost je pomorski prijevoz robe i putnika, popravak brodova, turizam i ugostiteljstvo.</t>
  </si>
  <si>
    <t>Nije bilo promjena računovodstvenih politika u promatranom razdoblju.</t>
  </si>
  <si>
    <t>Negativno rješavanje sudskih sporova može otežati poslovanje.</t>
  </si>
  <si>
    <t>MIODRAG KLIČKOVIĆ</t>
  </si>
  <si>
    <t>051750267</t>
  </si>
  <si>
    <t>051231811</t>
  </si>
  <si>
    <t>miodrag.klickovic@losinia.hr</t>
  </si>
  <si>
    <t>ĐANINO SUČIĆ</t>
  </si>
  <si>
    <t>1282166</t>
  </si>
  <si>
    <t>MORUS ALBA d.o.o.</t>
  </si>
  <si>
    <t>1. Financijski izvještaji (bilanca, račun dobiti i gubitka, izvještaj o novčanom tijeku, izvještaj o promjenama</t>
  </si>
  <si>
    <t>www.lp-holding.hr</t>
  </si>
  <si>
    <t>04091612</t>
  </si>
  <si>
    <t>DALSINIA d.o.o.</t>
  </si>
  <si>
    <t>ASPARAGUS d.o.o.</t>
  </si>
  <si>
    <t>01256939</t>
  </si>
  <si>
    <t>LOŠINJSKIH BRODOGRADITELJA 47</t>
  </si>
  <si>
    <t>01.01.2017.</t>
  </si>
  <si>
    <t>30.09.2017.</t>
  </si>
  <si>
    <t>ARCTURUS d.o.o.</t>
  </si>
  <si>
    <t>01282158</t>
  </si>
  <si>
    <t>stanje na dan 30.09.2017.</t>
  </si>
  <si>
    <t>u razdoblju 01.01.2017. do 30.09.2017.</t>
  </si>
  <si>
    <t>Bilješke uz nerevid.financ. izvještaje Lošinjska plovidba Holding konsolidirani TFI-POD-30.09.2017.</t>
  </si>
  <si>
    <t>Imateljima kapitala matice pripisan je dobitak u iznosu od 1.938.171 kuna.</t>
  </si>
  <si>
    <t>Konsolidirano Brodogradilište je ostvarilo gubitak od 2.818.894 kuna, konsolidirani Holding gubitak u iznosu od 1.938.171 kuna i</t>
  </si>
  <si>
    <t>Turizam dobitak od 3.359.101 kuna. Dobitak pripisan manjinskom interesu u iznosu od 45.598 kuna.</t>
  </si>
  <si>
    <t>Dobitak je ostvaren zbog gore navedenih razloga.</t>
  </si>
  <si>
    <t>U odnosu na plan, prihodi su uvećani.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</si>
</sst>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0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6">
      <alignment vertical="top"/>
      <protection/>
    </xf>
    <xf numFmtId="0" fontId="9" fillId="0" borderId="0" xfId="56" applyFont="1" applyAlignment="1">
      <alignment/>
      <protection/>
    </xf>
    <xf numFmtId="0" fontId="19" fillId="0" borderId="0" xfId="0" applyFont="1" applyAlignment="1">
      <alignment/>
    </xf>
    <xf numFmtId="3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/>
    </xf>
    <xf numFmtId="0" fontId="18" fillId="0" borderId="0" xfId="56" applyFont="1" applyFill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5" fillId="0" borderId="0" xfId="56" applyFont="1" applyBorder="1" applyAlignment="1" applyProtection="1">
      <alignment horizontal="left"/>
      <protection hidden="1"/>
    </xf>
    <xf numFmtId="0" fontId="16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3" fillId="0" borderId="0" xfId="56" applyFont="1" applyFill="1" applyBorder="1" applyAlignment="1" applyProtection="1">
      <alignment horizontal="left"/>
      <protection hidden="1"/>
    </xf>
    <xf numFmtId="0" fontId="9" fillId="0" borderId="0" xfId="56" applyFill="1" applyBorder="1" applyAlignment="1">
      <alignment/>
      <protection/>
    </xf>
    <xf numFmtId="0" fontId="9" fillId="0" borderId="25" xfId="56" applyFill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mailto:miodrag.klickovic@losinia.hr" TargetMode="External" /><Relationship Id="rId3" Type="http://schemas.openxmlformats.org/officeDocument/2006/relationships/hyperlink" Target="http://www.lp-holdi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248</v>
      </c>
      <c r="B1" s="159"/>
      <c r="C1" s="159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9" t="s">
        <v>249</v>
      </c>
      <c r="B2" s="190"/>
      <c r="C2" s="190"/>
      <c r="D2" s="191"/>
      <c r="E2" s="117" t="s">
        <v>355</v>
      </c>
      <c r="F2" s="12"/>
      <c r="G2" s="13" t="s">
        <v>250</v>
      </c>
      <c r="H2" s="117" t="s">
        <v>356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2" t="s">
        <v>314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37" t="s">
        <v>251</v>
      </c>
      <c r="B6" s="138"/>
      <c r="C6" s="153" t="s">
        <v>320</v>
      </c>
      <c r="D6" s="15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5" t="s">
        <v>252</v>
      </c>
      <c r="B8" s="196"/>
      <c r="C8" s="153" t="s">
        <v>321</v>
      </c>
      <c r="D8" s="15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2" t="s">
        <v>253</v>
      </c>
      <c r="B10" s="187"/>
      <c r="C10" s="153" t="s">
        <v>322</v>
      </c>
      <c r="D10" s="15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37" t="s">
        <v>254</v>
      </c>
      <c r="B12" s="138"/>
      <c r="C12" s="155" t="s">
        <v>323</v>
      </c>
      <c r="D12" s="184"/>
      <c r="E12" s="184"/>
      <c r="F12" s="184"/>
      <c r="G12" s="184"/>
      <c r="H12" s="184"/>
      <c r="I12" s="140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37" t="s">
        <v>255</v>
      </c>
      <c r="B14" s="138"/>
      <c r="C14" s="185">
        <v>51550</v>
      </c>
      <c r="D14" s="186"/>
      <c r="E14" s="16"/>
      <c r="F14" s="155" t="s">
        <v>324</v>
      </c>
      <c r="G14" s="184"/>
      <c r="H14" s="184"/>
      <c r="I14" s="140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37" t="s">
        <v>256</v>
      </c>
      <c r="B16" s="138"/>
      <c r="C16" s="155" t="s">
        <v>354</v>
      </c>
      <c r="D16" s="184"/>
      <c r="E16" s="184"/>
      <c r="F16" s="184"/>
      <c r="G16" s="184"/>
      <c r="H16" s="184"/>
      <c r="I16" s="140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37" t="s">
        <v>257</v>
      </c>
      <c r="B18" s="138"/>
      <c r="C18" s="180" t="s">
        <v>344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37" t="s">
        <v>258</v>
      </c>
      <c r="B20" s="138"/>
      <c r="C20" s="180" t="s">
        <v>349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37" t="s">
        <v>259</v>
      </c>
      <c r="B22" s="138"/>
      <c r="C22" s="118">
        <v>252</v>
      </c>
      <c r="D22" s="155" t="s">
        <v>324</v>
      </c>
      <c r="E22" s="165"/>
      <c r="F22" s="166"/>
      <c r="G22" s="137"/>
      <c r="H22" s="183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37" t="s">
        <v>260</v>
      </c>
      <c r="B24" s="138"/>
      <c r="C24" s="118">
        <v>8</v>
      </c>
      <c r="D24" s="155" t="s">
        <v>325</v>
      </c>
      <c r="E24" s="165"/>
      <c r="F24" s="165"/>
      <c r="G24" s="166"/>
      <c r="H24" s="48" t="s">
        <v>261</v>
      </c>
      <c r="I24" s="127">
        <v>205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315</v>
      </c>
      <c r="I25" s="95"/>
      <c r="J25" s="10"/>
      <c r="K25" s="10"/>
      <c r="L25" s="10"/>
    </row>
    <row r="26" spans="1:12" ht="12.75">
      <c r="A26" s="137" t="s">
        <v>262</v>
      </c>
      <c r="B26" s="138"/>
      <c r="C26" s="119" t="s">
        <v>326</v>
      </c>
      <c r="D26" s="25"/>
      <c r="E26" s="33"/>
      <c r="F26" s="24"/>
      <c r="G26" s="179" t="s">
        <v>263</v>
      </c>
      <c r="H26" s="138"/>
      <c r="I26" s="123" t="s">
        <v>327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2" t="s">
        <v>264</v>
      </c>
      <c r="B28" s="173"/>
      <c r="C28" s="174"/>
      <c r="D28" s="174"/>
      <c r="E28" s="175" t="s">
        <v>265</v>
      </c>
      <c r="F28" s="176"/>
      <c r="G28" s="176"/>
      <c r="H28" s="177" t="s">
        <v>266</v>
      </c>
      <c r="I28" s="178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5" t="s">
        <v>328</v>
      </c>
      <c r="B30" s="165"/>
      <c r="C30" s="165"/>
      <c r="D30" s="166"/>
      <c r="E30" s="167"/>
      <c r="F30" s="168"/>
      <c r="G30" s="169"/>
      <c r="H30" s="153" t="s">
        <v>329</v>
      </c>
      <c r="I30" s="154"/>
      <c r="J30" s="10"/>
      <c r="K30" s="10"/>
      <c r="L30" s="10"/>
    </row>
    <row r="31" spans="1:12" ht="12.75">
      <c r="A31" s="91"/>
      <c r="B31" s="22"/>
      <c r="C31" s="21"/>
      <c r="D31" s="170"/>
      <c r="E31" s="170"/>
      <c r="F31" s="170"/>
      <c r="G31" s="171"/>
      <c r="H31" s="16"/>
      <c r="I31" s="98"/>
      <c r="J31" s="10"/>
      <c r="K31" s="10"/>
      <c r="L31" s="10"/>
    </row>
    <row r="32" spans="1:12" ht="12.75">
      <c r="A32" s="155" t="s">
        <v>330</v>
      </c>
      <c r="B32" s="165"/>
      <c r="C32" s="165"/>
      <c r="D32" s="166"/>
      <c r="E32" s="167" t="s">
        <v>324</v>
      </c>
      <c r="F32" s="168"/>
      <c r="G32" s="169"/>
      <c r="H32" s="153" t="s">
        <v>331</v>
      </c>
      <c r="I32" s="154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5" t="s">
        <v>347</v>
      </c>
      <c r="B34" s="165"/>
      <c r="C34" s="165"/>
      <c r="D34" s="166"/>
      <c r="E34" s="167" t="s">
        <v>324</v>
      </c>
      <c r="F34" s="168"/>
      <c r="G34" s="169"/>
      <c r="H34" s="153" t="s">
        <v>346</v>
      </c>
      <c r="I34" s="154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5" t="s">
        <v>351</v>
      </c>
      <c r="B36" s="165"/>
      <c r="C36" s="165"/>
      <c r="D36" s="166"/>
      <c r="E36" s="167" t="s">
        <v>324</v>
      </c>
      <c r="F36" s="168"/>
      <c r="G36" s="169"/>
      <c r="H36" s="153" t="s">
        <v>350</v>
      </c>
      <c r="I36" s="154"/>
      <c r="J36" s="10"/>
      <c r="K36" s="10"/>
      <c r="L36" s="10"/>
    </row>
    <row r="37" spans="1:12" ht="12.75">
      <c r="A37" s="100"/>
      <c r="B37" s="30"/>
      <c r="C37" s="160"/>
      <c r="D37" s="161"/>
      <c r="E37" s="16"/>
      <c r="F37" s="160"/>
      <c r="G37" s="161"/>
      <c r="H37" s="16"/>
      <c r="I37" s="92"/>
      <c r="J37" s="10"/>
      <c r="K37" s="10"/>
      <c r="L37" s="10"/>
    </row>
    <row r="38" spans="1:12" ht="12.75">
      <c r="A38" s="155" t="s">
        <v>352</v>
      </c>
      <c r="B38" s="165"/>
      <c r="C38" s="165"/>
      <c r="D38" s="166"/>
      <c r="E38" s="167" t="s">
        <v>324</v>
      </c>
      <c r="F38" s="168"/>
      <c r="G38" s="169"/>
      <c r="H38" s="153" t="s">
        <v>353</v>
      </c>
      <c r="I38" s="15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5" t="s">
        <v>357</v>
      </c>
      <c r="B40" s="165"/>
      <c r="C40" s="165"/>
      <c r="D40" s="166"/>
      <c r="E40" s="167" t="s">
        <v>324</v>
      </c>
      <c r="F40" s="168"/>
      <c r="G40" s="169"/>
      <c r="H40" s="153" t="s">
        <v>358</v>
      </c>
      <c r="I40" s="154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2" t="s">
        <v>267</v>
      </c>
      <c r="B44" s="133"/>
      <c r="C44" s="153"/>
      <c r="D44" s="154"/>
      <c r="E44" s="26"/>
      <c r="F44" s="155"/>
      <c r="G44" s="156"/>
      <c r="H44" s="156"/>
      <c r="I44" s="157"/>
      <c r="J44" s="10"/>
      <c r="K44" s="10"/>
      <c r="L44" s="10"/>
    </row>
    <row r="45" spans="1:12" ht="12.75">
      <c r="A45" s="100"/>
      <c r="B45" s="30"/>
      <c r="C45" s="160"/>
      <c r="D45" s="161"/>
      <c r="E45" s="16"/>
      <c r="F45" s="160"/>
      <c r="G45" s="162"/>
      <c r="H45" s="35"/>
      <c r="I45" s="104"/>
      <c r="J45" s="10"/>
      <c r="K45" s="10"/>
      <c r="L45" s="10"/>
    </row>
    <row r="46" spans="1:12" ht="12.75">
      <c r="A46" s="132" t="s">
        <v>268</v>
      </c>
      <c r="B46" s="133"/>
      <c r="C46" s="155" t="s">
        <v>341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2" t="s">
        <v>270</v>
      </c>
      <c r="B48" s="133"/>
      <c r="C48" s="139" t="s">
        <v>342</v>
      </c>
      <c r="D48" s="135"/>
      <c r="E48" s="136"/>
      <c r="F48" s="16"/>
      <c r="G48" s="48" t="s">
        <v>271</v>
      </c>
      <c r="H48" s="139" t="s">
        <v>343</v>
      </c>
      <c r="I48" s="136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2" t="s">
        <v>257</v>
      </c>
      <c r="B50" s="133"/>
      <c r="C50" s="134" t="s">
        <v>344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37" t="s">
        <v>272</v>
      </c>
      <c r="B52" s="138"/>
      <c r="C52" s="139" t="s">
        <v>345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5"/>
      <c r="B53" s="20"/>
      <c r="C53" s="149" t="s">
        <v>273</v>
      </c>
      <c r="D53" s="149"/>
      <c r="E53" s="149"/>
      <c r="F53" s="149"/>
      <c r="G53" s="149"/>
      <c r="H53" s="149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1" t="s">
        <v>274</v>
      </c>
      <c r="C55" s="142"/>
      <c r="D55" s="142"/>
      <c r="E55" s="142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43" t="s">
        <v>348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5"/>
      <c r="B57" s="143" t="s">
        <v>305</v>
      </c>
      <c r="C57" s="144"/>
      <c r="D57" s="144"/>
      <c r="E57" s="144"/>
      <c r="F57" s="144"/>
      <c r="G57" s="144"/>
      <c r="H57" s="144"/>
      <c r="I57" s="107"/>
      <c r="J57" s="10"/>
      <c r="K57" s="10"/>
      <c r="L57" s="10"/>
    </row>
    <row r="58" spans="1:12" ht="12.75">
      <c r="A58" s="105"/>
      <c r="B58" s="143" t="s">
        <v>306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05"/>
      <c r="B59" s="146" t="s">
        <v>307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50" t="s">
        <v>277</v>
      </c>
      <c r="H62" s="151"/>
      <c r="I62" s="152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0"/>
      <c r="H63" s="131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2:G32 A30:I30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miodrag.klickovic@losinia.hr"/>
    <hyperlink ref="C18" r:id="rId2" display="miodrag.klickovic@losinia.hr"/>
    <hyperlink ref="C20" r:id="rId3" display="www.lp-holding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K111" sqref="K111"/>
    </sheetView>
  </sheetViews>
  <sheetFormatPr defaultColWidth="9.140625" defaultRowHeight="12.75"/>
  <cols>
    <col min="1" max="9" width="9.140625" style="49" customWidth="1"/>
    <col min="10" max="10" width="10.7109375" style="49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197" t="s">
        <v>153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332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2.5">
      <c r="A4" s="202" t="s">
        <v>59</v>
      </c>
      <c r="B4" s="203"/>
      <c r="C4" s="203"/>
      <c r="D4" s="203"/>
      <c r="E4" s="203"/>
      <c r="F4" s="203"/>
      <c r="G4" s="203"/>
      <c r="H4" s="204"/>
      <c r="I4" s="55" t="s">
        <v>278</v>
      </c>
      <c r="J4" s="56" t="s">
        <v>316</v>
      </c>
      <c r="K4" s="57" t="s">
        <v>317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54">
        <v>2</v>
      </c>
      <c r="J5" s="53">
        <v>3</v>
      </c>
      <c r="K5" s="53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0">
        <f>J9+J16+J26+J35+J39</f>
        <v>134588895</v>
      </c>
      <c r="K8" s="50">
        <f>K9+K16+K26+K35+K39</f>
        <v>134606282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0">
        <f>SUM(J10:J15)</f>
        <v>2358886</v>
      </c>
      <c r="K9" s="50">
        <f>SUM(K10:K15)</f>
        <v>2255850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>
        <v>8125</v>
      </c>
      <c r="K10" s="7">
        <v>433249</v>
      </c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22414</v>
      </c>
      <c r="K11" s="7">
        <v>516664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>
        <v>0</v>
      </c>
      <c r="K12" s="7">
        <v>0</v>
      </c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>
        <v>0</v>
      </c>
      <c r="K13" s="7">
        <v>5538</v>
      </c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1669592</v>
      </c>
      <c r="K14" s="7">
        <v>1189487</v>
      </c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>
        <v>658755</v>
      </c>
      <c r="K15" s="7">
        <v>110912</v>
      </c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0">
        <f>SUM(J17:J25)</f>
        <v>78457049</v>
      </c>
      <c r="K16" s="50">
        <f>SUM(K17:K25)</f>
        <v>77783306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25507521</v>
      </c>
      <c r="K17" s="7">
        <v>25527610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35451856</v>
      </c>
      <c r="K18" s="7">
        <v>33889842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3056857</v>
      </c>
      <c r="K19" s="7">
        <v>1428614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1165363</v>
      </c>
      <c r="K20" s="7">
        <v>3565096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>
        <v>0</v>
      </c>
      <c r="K21" s="7">
        <v>0</v>
      </c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0</v>
      </c>
      <c r="K22" s="7">
        <v>0</v>
      </c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6685453</v>
      </c>
      <c r="K23" s="7">
        <v>7085183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43887</v>
      </c>
      <c r="K24" s="7">
        <v>198470</v>
      </c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6546112</v>
      </c>
      <c r="K25" s="7">
        <v>6088491</v>
      </c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0">
        <f>SUM(J27:J34)</f>
        <v>53523413</v>
      </c>
      <c r="K26" s="50">
        <f>SUM(K27:K34)</f>
        <v>54317579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0</v>
      </c>
      <c r="K27" s="7">
        <v>0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>
        <v>0</v>
      </c>
      <c r="K28" s="7">
        <v>0</v>
      </c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812405</v>
      </c>
      <c r="K29" s="7">
        <v>812405</v>
      </c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>
        <v>0</v>
      </c>
      <c r="K30" s="7">
        <v>0</v>
      </c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1752264</v>
      </c>
      <c r="K31" s="7">
        <v>1752264</v>
      </c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423883</v>
      </c>
      <c r="K32" s="7">
        <v>942834</v>
      </c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0</v>
      </c>
      <c r="K33" s="7">
        <v>0</v>
      </c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>
        <v>50534861</v>
      </c>
      <c r="K34" s="7">
        <v>50810076</v>
      </c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>
        <v>0</v>
      </c>
      <c r="K36" s="7">
        <v>0</v>
      </c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0</v>
      </c>
      <c r="K37" s="7">
        <v>0</v>
      </c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0</v>
      </c>
      <c r="K38" s="7">
        <v>0</v>
      </c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249547</v>
      </c>
      <c r="K39" s="7">
        <v>249547</v>
      </c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0">
        <f>J41+J49+J56+J64</f>
        <v>61538045</v>
      </c>
      <c r="K40" s="50">
        <f>K41+K49+K56+K64</f>
        <v>61924674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0">
        <f>SUM(J42:J48)</f>
        <v>3082411</v>
      </c>
      <c r="K41" s="50">
        <f>SUM(K42:K48)</f>
        <v>4073397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3034562</v>
      </c>
      <c r="K42" s="7">
        <v>3778796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0</v>
      </c>
      <c r="K43" s="7">
        <v>0</v>
      </c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0</v>
      </c>
      <c r="K44" s="7">
        <v>0</v>
      </c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47849</v>
      </c>
      <c r="K45" s="7">
        <v>294601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0</v>
      </c>
      <c r="K46" s="7">
        <v>0</v>
      </c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>
        <v>0</v>
      </c>
      <c r="K47" s="7">
        <v>0</v>
      </c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>
        <v>0</v>
      </c>
      <c r="K48" s="7">
        <v>0</v>
      </c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0">
        <f>SUM(J50:J55)</f>
        <v>22883511</v>
      </c>
      <c r="K49" s="50">
        <f>SUM(K50:K55)</f>
        <v>18189243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0</v>
      </c>
      <c r="K50" s="7">
        <v>0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19417283</v>
      </c>
      <c r="K51" s="7">
        <v>12446019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>
        <v>0</v>
      </c>
      <c r="K52" s="7">
        <v>0</v>
      </c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68534</v>
      </c>
      <c r="K53" s="7">
        <v>65015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2102102</v>
      </c>
      <c r="K54" s="7">
        <v>3174330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1295592</v>
      </c>
      <c r="K55" s="7">
        <v>2503879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0">
        <f>SUM(J57:J63)</f>
        <v>500672</v>
      </c>
      <c r="K56" s="50">
        <f>SUM(K57:K63)</f>
        <v>897061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>
        <v>0</v>
      </c>
      <c r="K57" s="7">
        <v>0</v>
      </c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0</v>
      </c>
      <c r="K58" s="7">
        <v>0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>
        <v>0</v>
      </c>
      <c r="K59" s="7">
        <v>0</v>
      </c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>
        <v>0</v>
      </c>
      <c r="K60" s="7">
        <v>0</v>
      </c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0</v>
      </c>
      <c r="K61" s="7">
        <v>0</v>
      </c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500672</v>
      </c>
      <c r="K62" s="7">
        <v>897061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0</v>
      </c>
      <c r="K63" s="7">
        <v>0</v>
      </c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35071451</v>
      </c>
      <c r="K64" s="7">
        <v>38764973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633662</v>
      </c>
      <c r="K65" s="7">
        <v>0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0">
        <f>J7+J8+J40+J65</f>
        <v>196760602</v>
      </c>
      <c r="K66" s="50">
        <f>K7+K8+K40+K65</f>
        <v>196530956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0</v>
      </c>
      <c r="K67" s="8">
        <v>0</v>
      </c>
    </row>
    <row r="68" spans="1:11" ht="12.75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9" t="s">
        <v>191</v>
      </c>
      <c r="B69" s="210"/>
      <c r="C69" s="210"/>
      <c r="D69" s="210"/>
      <c r="E69" s="210"/>
      <c r="F69" s="210"/>
      <c r="G69" s="210"/>
      <c r="H69" s="211"/>
      <c r="I69" s="3">
        <v>62</v>
      </c>
      <c r="J69" s="51">
        <f>J70+J71+J72+J78+J79+J82+J85</f>
        <v>164293818</v>
      </c>
      <c r="K69" s="51">
        <f>K70+K71+K72+K78+K79+K82+K85</f>
        <v>166038284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231845600</v>
      </c>
      <c r="K70" s="7">
        <v>231845600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14715808</v>
      </c>
      <c r="K71" s="7">
        <v>14715808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0">
        <f>J73+J74-J75+J76+J77</f>
        <v>24302</v>
      </c>
      <c r="K72" s="50">
        <v>24302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13275</v>
      </c>
      <c r="K73" s="7">
        <v>13275</v>
      </c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0</v>
      </c>
      <c r="K74" s="7">
        <v>0</v>
      </c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0</v>
      </c>
      <c r="K75" s="7">
        <v>0</v>
      </c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>
        <v>0</v>
      </c>
      <c r="K76" s="7">
        <v>0</v>
      </c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11027</v>
      </c>
      <c r="K77" s="7">
        <v>11027</v>
      </c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0</v>
      </c>
      <c r="K78" s="7">
        <v>0</v>
      </c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0">
        <f>-J81</f>
        <v>-86542076</v>
      </c>
      <c r="K79" s="50">
        <f>K80-K81</f>
        <v>-88263581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0</v>
      </c>
      <c r="K80" s="7"/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86542076</v>
      </c>
      <c r="K81" s="7">
        <v>88263581</v>
      </c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0">
        <f>J83-J84</f>
        <v>-1144805</v>
      </c>
      <c r="K82" s="50">
        <f>K83-K84</f>
        <v>1938171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0</v>
      </c>
      <c r="K83" s="7">
        <f>RDG!L53</f>
        <v>1938171</v>
      </c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1144805</v>
      </c>
      <c r="K84" s="7">
        <v>0</v>
      </c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>
        <v>5394989</v>
      </c>
      <c r="K85" s="7">
        <v>5777984</v>
      </c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0</v>
      </c>
      <c r="K89" s="7">
        <v>0</v>
      </c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0">
        <f>SUM(J91:J99)</f>
        <v>14104952</v>
      </c>
      <c r="K90" s="50">
        <f>SUM(K91:K99)</f>
        <v>12588351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>
        <v>0</v>
      </c>
      <c r="K91" s="7">
        <v>0</v>
      </c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>
        <v>734826</v>
      </c>
      <c r="K92" s="7">
        <v>1906208</v>
      </c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13252764</v>
      </c>
      <c r="K93" s="7">
        <v>10677409</v>
      </c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>
        <v>0</v>
      </c>
      <c r="K94" s="7">
        <v>0</v>
      </c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>
        <v>0</v>
      </c>
      <c r="K95" s="7">
        <v>0</v>
      </c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>
        <v>0</v>
      </c>
      <c r="K96" s="7">
        <v>0</v>
      </c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>
        <v>0</v>
      </c>
      <c r="K97" s="7">
        <v>0</v>
      </c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0</v>
      </c>
      <c r="K98" s="7">
        <v>3088</v>
      </c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117362</v>
      </c>
      <c r="K99" s="7">
        <v>1646</v>
      </c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0">
        <f>SUM(J101:J112)</f>
        <v>16869600</v>
      </c>
      <c r="K100" s="50">
        <f>SUM(K101:K112)</f>
        <v>17522017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0</v>
      </c>
      <c r="K101" s="7">
        <v>0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4000000</v>
      </c>
      <c r="K102" s="7">
        <v>5150000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2062114</v>
      </c>
      <c r="K103" s="7">
        <v>1193186</v>
      </c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907280</v>
      </c>
      <c r="K104" s="7">
        <v>667078</v>
      </c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7527117</v>
      </c>
      <c r="K105" s="7">
        <v>6416396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0</v>
      </c>
      <c r="K106" s="7">
        <v>0</v>
      </c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>
        <v>0</v>
      </c>
      <c r="K107" s="7">
        <v>0</v>
      </c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1016607</v>
      </c>
      <c r="K108" s="7">
        <v>1188266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1078362</v>
      </c>
      <c r="K109" s="7">
        <v>2616281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0</v>
      </c>
      <c r="K110" s="7">
        <v>0</v>
      </c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>
        <v>0</v>
      </c>
      <c r="K111" s="7">
        <v>0</v>
      </c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278120</v>
      </c>
      <c r="K112" s="7">
        <v>290810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1492232</v>
      </c>
      <c r="K113" s="7">
        <v>382304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0">
        <f>J69+J86+J90+J100+J113</f>
        <v>196760602</v>
      </c>
      <c r="K114" s="50">
        <f>K69+K86+K90+K100+K113</f>
        <v>196530956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0</v>
      </c>
      <c r="K115" s="8"/>
    </row>
    <row r="116" spans="1:11" ht="12.75">
      <c r="A116" s="221" t="s">
        <v>308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40"/>
      <c r="J117" s="240"/>
      <c r="K117" s="241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>
        <f>J69-J119</f>
        <v>158898829</v>
      </c>
      <c r="K118" s="7">
        <f>K69-K119</f>
        <v>160260300</v>
      </c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>
        <v>5394989</v>
      </c>
      <c r="K119" s="8">
        <f>K85</f>
        <v>5777984</v>
      </c>
    </row>
    <row r="120" spans="1:11" ht="12.75">
      <c r="A120" s="230" t="s">
        <v>309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9" width="9.140625" style="49" customWidth="1"/>
    <col min="10" max="11" width="10.140625" style="49" customWidth="1"/>
    <col min="12" max="12" width="10.421875" style="49" bestFit="1" customWidth="1"/>
    <col min="13" max="13" width="10.28125" style="49" customWidth="1"/>
    <col min="14" max="16384" width="9.140625" style="49" customWidth="1"/>
  </cols>
  <sheetData>
    <row r="1" spans="1:13" ht="12.75" customHeight="1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51" t="s">
        <v>360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44" t="s">
        <v>332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3" t="s">
        <v>59</v>
      </c>
      <c r="B4" s="243"/>
      <c r="C4" s="243"/>
      <c r="D4" s="243"/>
      <c r="E4" s="243"/>
      <c r="F4" s="243"/>
      <c r="G4" s="243"/>
      <c r="H4" s="243"/>
      <c r="I4" s="55" t="s">
        <v>279</v>
      </c>
      <c r="J4" s="242" t="s">
        <v>316</v>
      </c>
      <c r="K4" s="242"/>
      <c r="L4" s="242" t="s">
        <v>317</v>
      </c>
      <c r="M4" s="242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55"/>
      <c r="J5" s="57" t="s">
        <v>312</v>
      </c>
      <c r="K5" s="57" t="s">
        <v>313</v>
      </c>
      <c r="L5" s="57" t="s">
        <v>312</v>
      </c>
      <c r="M5" s="57" t="s">
        <v>313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11"/>
      <c r="I7" s="3">
        <v>111</v>
      </c>
      <c r="J7" s="51">
        <f>SUM(J8:J9)</f>
        <v>53279347</v>
      </c>
      <c r="K7" s="51">
        <f>SUM(K8:K9)</f>
        <v>20226533</v>
      </c>
      <c r="L7" s="51">
        <f>SUM(L8:L9)</f>
        <v>67488121</v>
      </c>
      <c r="M7" s="51">
        <f>SUM(M8:M9)</f>
        <v>25418571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50810541</v>
      </c>
      <c r="K8" s="7">
        <v>19870655</v>
      </c>
      <c r="L8" s="7">
        <v>65710130</v>
      </c>
      <c r="M8" s="7">
        <f>L8-41331625</f>
        <v>24378505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2468806</v>
      </c>
      <c r="K9" s="7">
        <v>355878</v>
      </c>
      <c r="L9" s="7">
        <v>1777991</v>
      </c>
      <c r="M9" s="7">
        <f>L9-737925</f>
        <v>1040066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0">
        <f>J11+J12+J16+J20+J21+J22+J25+J26</f>
        <v>49728678</v>
      </c>
      <c r="K10" s="50">
        <f>K11+K12+K16+K20+K21+K22+K25+K26</f>
        <v>14988722</v>
      </c>
      <c r="L10" s="50">
        <f>L11+L12+L16+L20+L21+L22+L25+L26</f>
        <v>64316624</v>
      </c>
      <c r="M10" s="50">
        <f>M11+M12+M16+M20+M21+M22+M25+M26</f>
        <v>19885557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0">
        <f>SUM(J13:J15)</f>
        <v>29474126</v>
      </c>
      <c r="K12" s="50">
        <f>SUM(K13:K15)</f>
        <v>8247663</v>
      </c>
      <c r="L12" s="50">
        <f>SUM(L13:L15)</f>
        <v>40253266</v>
      </c>
      <c r="M12" s="50">
        <f>SUM(M13:M15)</f>
        <v>11607969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7860877</v>
      </c>
      <c r="K13" s="7">
        <v>2924709</v>
      </c>
      <c r="L13" s="7">
        <v>9210293</v>
      </c>
      <c r="M13" s="7">
        <f>L13-5814575</f>
        <v>3395718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0</v>
      </c>
      <c r="K14" s="7">
        <v>0</v>
      </c>
      <c r="L14" s="7">
        <v>1331350</v>
      </c>
      <c r="M14" s="7">
        <f>L14-120144</f>
        <v>1211206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21613249</v>
      </c>
      <c r="K15" s="7">
        <v>5322954</v>
      </c>
      <c r="L15" s="7">
        <v>29711623</v>
      </c>
      <c r="M15" s="7">
        <f>L15-22710578</f>
        <v>7001045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0">
        <f>SUM(J17:J19)</f>
        <v>13650125</v>
      </c>
      <c r="K16" s="50">
        <f>SUM(K17:K19)</f>
        <v>5076613</v>
      </c>
      <c r="L16" s="50">
        <f>SUM(L17:L19)</f>
        <v>15203930</v>
      </c>
      <c r="M16" s="50">
        <f>SUM(M17:M19)</f>
        <v>5518056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8569769</v>
      </c>
      <c r="K17" s="7">
        <v>3171080</v>
      </c>
      <c r="L17" s="7">
        <v>9586753</v>
      </c>
      <c r="M17" s="7">
        <f>L17-6107245</f>
        <v>3479508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3055577</v>
      </c>
      <c r="K18" s="7">
        <v>1055166</v>
      </c>
      <c r="L18" s="7">
        <v>3388218</v>
      </c>
      <c r="M18" s="7">
        <f>L18-2159066</f>
        <v>1229152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2024779</v>
      </c>
      <c r="K19" s="7">
        <v>850367</v>
      </c>
      <c r="L19" s="7">
        <v>2228959</v>
      </c>
      <c r="M19" s="7">
        <f>L19-1419563</f>
        <v>809396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3774376</v>
      </c>
      <c r="K20" s="7">
        <v>1127923</v>
      </c>
      <c r="L20" s="7">
        <v>3864621</v>
      </c>
      <c r="M20" s="7">
        <f>L20-2546487</f>
        <v>1318134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2261404</v>
      </c>
      <c r="K21" s="7">
        <v>391267</v>
      </c>
      <c r="L21" s="7">
        <v>3044351</v>
      </c>
      <c r="M21" s="7">
        <f>L21-2005888</f>
        <v>1038463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0">
        <v>0</v>
      </c>
      <c r="K22" s="50">
        <v>0</v>
      </c>
      <c r="L22" s="50">
        <f>SUM(L23:L24)</f>
        <v>0</v>
      </c>
      <c r="M22" s="50">
        <v>0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568647</v>
      </c>
      <c r="K26" s="7">
        <v>145256</v>
      </c>
      <c r="L26" s="7">
        <v>1950456</v>
      </c>
      <c r="M26" s="7">
        <f>L26-1547521</f>
        <v>402935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0">
        <f>SUM(J28:J32)</f>
        <v>495232</v>
      </c>
      <c r="K27" s="50">
        <f>SUM(K28:K32)</f>
        <v>28726</v>
      </c>
      <c r="L27" s="50">
        <f>SUM(L28:L32)</f>
        <v>1364606</v>
      </c>
      <c r="M27" s="50">
        <f>SUM(M28:M32)</f>
        <v>1078166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0</v>
      </c>
      <c r="K28" s="7">
        <v>0</v>
      </c>
      <c r="L28" s="7"/>
      <c r="M28" s="7"/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495232</v>
      </c>
      <c r="K29" s="7">
        <v>28726</v>
      </c>
      <c r="L29" s="7">
        <v>1364606</v>
      </c>
      <c r="M29" s="7">
        <f>L29-286440</f>
        <v>1078166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>
        <v>0</v>
      </c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0">
        <f>SUM(J34:J37)</f>
        <v>1937910</v>
      </c>
      <c r="K33" s="50">
        <f>SUM(K34:K37)</f>
        <v>866754</v>
      </c>
      <c r="L33" s="50">
        <f>SUM(L34:L37)</f>
        <v>1704426</v>
      </c>
      <c r="M33" s="50">
        <f>SUM(M34:M37)</f>
        <v>524438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1937910</v>
      </c>
      <c r="K35" s="7">
        <v>866754</v>
      </c>
      <c r="L35" s="7">
        <v>1704426</v>
      </c>
      <c r="M35" s="7">
        <f>L35-1179988</f>
        <v>524438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v>0</v>
      </c>
      <c r="K37" s="7">
        <v>0</v>
      </c>
      <c r="L37" s="7">
        <v>0</v>
      </c>
      <c r="M37" s="7">
        <f>L37</f>
        <v>0</v>
      </c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0">
        <f>J7+J27+J38+J40</f>
        <v>53774579</v>
      </c>
      <c r="K42" s="50">
        <f>K7+K27+K38+K40</f>
        <v>20255259</v>
      </c>
      <c r="L42" s="50">
        <f>L7+L27+L38+L40</f>
        <v>68852727</v>
      </c>
      <c r="M42" s="50">
        <f>M7+M27+M38+M40</f>
        <v>26496737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0">
        <f>J10+J33+J39+J41</f>
        <v>51666588</v>
      </c>
      <c r="K43" s="50">
        <f>K10+K33+K39+K41</f>
        <v>15855476</v>
      </c>
      <c r="L43" s="50">
        <f>L10+L33+L39+L41</f>
        <v>66021050</v>
      </c>
      <c r="M43" s="50">
        <f>M10+M33+M39+M41</f>
        <v>20409995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0">
        <f>J42-J43</f>
        <v>2107991</v>
      </c>
      <c r="K44" s="50">
        <f>K42-K43</f>
        <v>4399783</v>
      </c>
      <c r="L44" s="50">
        <f>L42-L43</f>
        <v>2831677</v>
      </c>
      <c r="M44" s="50">
        <f>M42-M43</f>
        <v>6086742</v>
      </c>
    </row>
    <row r="45" spans="1:13" ht="12.75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0">
        <f>IF(J42&gt;J43,J42-J43,0)</f>
        <v>2107991</v>
      </c>
      <c r="K45" s="50">
        <f>IF(K42&gt;K43,K42-K43,0)</f>
        <v>4399783</v>
      </c>
      <c r="L45" s="50">
        <f>L44</f>
        <v>2831677</v>
      </c>
      <c r="M45" s="50">
        <f>M44</f>
        <v>6086742</v>
      </c>
    </row>
    <row r="46" spans="1:13" ht="12.75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v>0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1027063</v>
      </c>
      <c r="K47" s="7">
        <v>913211</v>
      </c>
      <c r="L47" s="7">
        <v>847908</v>
      </c>
      <c r="M47" s="7">
        <f>L47-5632</f>
        <v>842276</v>
      </c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0">
        <f>J44-J47</f>
        <v>1080928</v>
      </c>
      <c r="K48" s="50">
        <f>K44-K47</f>
        <v>3486572</v>
      </c>
      <c r="L48" s="50">
        <f>L44-L47</f>
        <v>1983769</v>
      </c>
      <c r="M48" s="50">
        <f>M44-M47</f>
        <v>5244466</v>
      </c>
    </row>
    <row r="49" spans="1:13" ht="12.75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0">
        <f>IF(J48&gt;0,J48,0)</f>
        <v>1080928</v>
      </c>
      <c r="K49" s="50">
        <f>K48</f>
        <v>3486572</v>
      </c>
      <c r="L49" s="50">
        <f>IF(L48&gt;0,L48,0)</f>
        <v>1983769</v>
      </c>
      <c r="M49" s="50">
        <f>M48</f>
        <v>5244466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v>0</v>
      </c>
    </row>
    <row r="51" spans="1:13" ht="12.75" customHeight="1">
      <c r="A51" s="221" t="s">
        <v>310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9" t="s">
        <v>187</v>
      </c>
      <c r="B52" s="210"/>
      <c r="C52" s="210"/>
      <c r="D52" s="210"/>
      <c r="E52" s="210"/>
      <c r="F52" s="210"/>
      <c r="G52" s="210"/>
      <c r="H52" s="210"/>
      <c r="I52" s="52"/>
      <c r="J52" s="52"/>
      <c r="K52" s="52"/>
      <c r="L52" s="52"/>
      <c r="M52" s="59"/>
    </row>
    <row r="53" spans="1:13" ht="12.75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>
        <f>J48-J54</f>
        <v>1011032</v>
      </c>
      <c r="K53" s="7">
        <v>3432971</v>
      </c>
      <c r="L53" s="7">
        <f>L48-L54</f>
        <v>1938171</v>
      </c>
      <c r="M53" s="7">
        <f>M49-M54</f>
        <v>5203123</v>
      </c>
    </row>
    <row r="54" spans="1:13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>
        <v>69896</v>
      </c>
      <c r="K54" s="7">
        <v>53601</v>
      </c>
      <c r="L54" s="8">
        <v>45598</v>
      </c>
      <c r="M54" s="7">
        <f>L54-4255</f>
        <v>41343</v>
      </c>
    </row>
    <row r="55" spans="1:13" ht="12.75" customHeight="1">
      <c r="A55" s="221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9" t="s">
        <v>204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f>J48</f>
        <v>1080928</v>
      </c>
      <c r="K56" s="6">
        <f>K48</f>
        <v>3486572</v>
      </c>
      <c r="L56" s="6">
        <f>L48</f>
        <v>1983769</v>
      </c>
      <c r="M56" s="6">
        <f>M49</f>
        <v>5244466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0"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>
        <v>0</v>
      </c>
      <c r="K58" s="7">
        <f>J58</f>
        <v>0</v>
      </c>
      <c r="L58" s="7">
        <v>0</v>
      </c>
      <c r="M58" s="7">
        <v>0</v>
      </c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>
        <v>0</v>
      </c>
      <c r="K60" s="7">
        <v>0</v>
      </c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>
        <v>0</v>
      </c>
      <c r="K65" s="7">
        <f>J65</f>
        <v>0</v>
      </c>
      <c r="L65" s="7"/>
      <c r="M65" s="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0">
        <v>0</v>
      </c>
      <c r="K66" s="7">
        <f>J66</f>
        <v>0</v>
      </c>
      <c r="L66" s="50">
        <f>L57-L65</f>
        <v>0</v>
      </c>
      <c r="M66" s="50">
        <f>M57-M65</f>
        <v>0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58">
        <f>J56+J66</f>
        <v>1080928</v>
      </c>
      <c r="K67" s="58">
        <f>K56+K66</f>
        <v>3486572</v>
      </c>
      <c r="L67" s="58">
        <f>L56+L66</f>
        <v>1983769</v>
      </c>
      <c r="M67" s="58">
        <f>M56+M66</f>
        <v>5244466</v>
      </c>
    </row>
    <row r="68" spans="1:13" ht="12.75" customHeight="1">
      <c r="A68" s="255" t="s">
        <v>311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>
        <f>J67-J71</f>
        <v>1011032</v>
      </c>
      <c r="K70" s="7">
        <f>K67-K71</f>
        <v>3432971</v>
      </c>
      <c r="L70" s="7">
        <f>L67-L71</f>
        <v>1938171</v>
      </c>
      <c r="M70" s="7">
        <f>M67-M71</f>
        <v>5203123</v>
      </c>
    </row>
    <row r="71" spans="1:13" ht="12.75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>
        <f>J54</f>
        <v>69896</v>
      </c>
      <c r="K71" s="8">
        <f>K54</f>
        <v>53601</v>
      </c>
      <c r="L71" s="8">
        <f>L54</f>
        <v>45598</v>
      </c>
      <c r="M71" s="8">
        <f>M54</f>
        <v>41343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9" width="9.140625" style="49" customWidth="1"/>
    <col min="10" max="11" width="10.421875" style="49" bestFit="1" customWidth="1"/>
    <col min="12" max="16384" width="9.140625" style="49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360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332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>
      <c r="A4" s="264" t="s">
        <v>59</v>
      </c>
      <c r="B4" s="264"/>
      <c r="C4" s="264"/>
      <c r="D4" s="264"/>
      <c r="E4" s="264"/>
      <c r="F4" s="264"/>
      <c r="G4" s="264"/>
      <c r="H4" s="264"/>
      <c r="I4" s="63" t="s">
        <v>279</v>
      </c>
      <c r="J4" s="64" t="s">
        <v>316</v>
      </c>
      <c r="K4" s="64" t="s">
        <v>317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5">
        <v>2</v>
      </c>
      <c r="J5" s="66" t="s">
        <v>282</v>
      </c>
      <c r="K5" s="66" t="s">
        <v>283</v>
      </c>
    </row>
    <row r="6" spans="1:11" ht="12.75">
      <c r="A6" s="221" t="s">
        <v>156</v>
      </c>
      <c r="B6" s="237"/>
      <c r="C6" s="237"/>
      <c r="D6" s="237"/>
      <c r="E6" s="237"/>
      <c r="F6" s="237"/>
      <c r="G6" s="237"/>
      <c r="H6" s="237"/>
      <c r="I6" s="266"/>
      <c r="J6" s="266"/>
      <c r="K6" s="267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2107991</v>
      </c>
      <c r="K7" s="7">
        <f>RDG!L44</f>
        <v>2831677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3774376</v>
      </c>
      <c r="K8" s="7">
        <f>RDG!L20</f>
        <v>3864621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0</v>
      </c>
      <c r="K9" s="7">
        <v>652417</v>
      </c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7">
        <v>6334035</v>
      </c>
      <c r="K10" s="7">
        <v>4694268</v>
      </c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7">
        <v>0</v>
      </c>
      <c r="K11" s="7">
        <v>0</v>
      </c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7">
        <v>0</v>
      </c>
      <c r="K12" s="7">
        <v>0</v>
      </c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50">
        <f>J7+J8+J9+J10+J11+J12</f>
        <v>12216402</v>
      </c>
      <c r="K13" s="50">
        <f>K7+K8+K9+K10+K11+K12</f>
        <v>12042983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7">
        <v>4432779</v>
      </c>
      <c r="K14" s="7">
        <v>0</v>
      </c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7">
        <v>0</v>
      </c>
      <c r="K15" s="7">
        <v>0</v>
      </c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7">
        <v>286068</v>
      </c>
      <c r="K16" s="7">
        <v>990986</v>
      </c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7">
        <v>1467954</v>
      </c>
      <c r="K17" s="7">
        <v>3320677</v>
      </c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0">
        <f>SUM(J14:J17)</f>
        <v>6186801</v>
      </c>
      <c r="K18" s="50">
        <f>SUM(K14:K17)</f>
        <v>4311663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50">
        <f>IF(J13&gt;J18,J13-J18,0)</f>
        <v>6029601</v>
      </c>
      <c r="K19" s="50">
        <f>IF(K13&gt;K18,K13-K18,0)</f>
        <v>7731320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50">
        <f>IF(J18&gt;J13,J18-J13,0)</f>
        <v>0</v>
      </c>
      <c r="K20" s="50">
        <f>IF(K18&gt;K13,K18-K13,0)</f>
        <v>0</v>
      </c>
    </row>
    <row r="21" spans="1:11" ht="12.75">
      <c r="A21" s="221" t="s">
        <v>159</v>
      </c>
      <c r="B21" s="237"/>
      <c r="C21" s="237"/>
      <c r="D21" s="237"/>
      <c r="E21" s="237"/>
      <c r="F21" s="237"/>
      <c r="G21" s="237"/>
      <c r="H21" s="237"/>
      <c r="I21" s="266"/>
      <c r="J21" s="266"/>
      <c r="K21" s="267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7">
        <v>0</v>
      </c>
      <c r="K22" s="7">
        <v>0</v>
      </c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7">
        <v>0</v>
      </c>
      <c r="K23" s="7">
        <v>0</v>
      </c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7">
        <v>0</v>
      </c>
      <c r="K24" s="7">
        <v>0</v>
      </c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7">
        <v>0</v>
      </c>
      <c r="K25" s="7">
        <v>0</v>
      </c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7">
        <v>0</v>
      </c>
      <c r="K26" s="7">
        <v>0</v>
      </c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50">
        <f>SUM(J22:J26)</f>
        <v>0</v>
      </c>
      <c r="K27" s="50">
        <f>SUM(K22:K26)</f>
        <v>0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7">
        <v>1721258</v>
      </c>
      <c r="K28" s="7">
        <v>3129755</v>
      </c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7">
        <v>0</v>
      </c>
      <c r="K29" s="7">
        <v>0</v>
      </c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7">
        <v>0</v>
      </c>
      <c r="K30" s="7">
        <v>0</v>
      </c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50">
        <f>SUM(J28:J30)</f>
        <v>1721258</v>
      </c>
      <c r="K31" s="50">
        <f>SUM(K28:K30)</f>
        <v>3129755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50">
        <f>IF(J31&gt;J27,J31-J27,0)</f>
        <v>1721258</v>
      </c>
      <c r="K33" s="50">
        <f>IF(K31&gt;K27,K31-K27,0)</f>
        <v>3129755</v>
      </c>
    </row>
    <row r="34" spans="1:11" ht="12.75">
      <c r="A34" s="221" t="s">
        <v>160</v>
      </c>
      <c r="B34" s="237"/>
      <c r="C34" s="237"/>
      <c r="D34" s="237"/>
      <c r="E34" s="237"/>
      <c r="F34" s="237"/>
      <c r="G34" s="237"/>
      <c r="H34" s="237"/>
      <c r="I34" s="266"/>
      <c r="J34" s="266"/>
      <c r="K34" s="267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7">
        <v>0</v>
      </c>
      <c r="K35" s="7">
        <v>0</v>
      </c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7">
        <v>0</v>
      </c>
      <c r="K36" s="7">
        <v>0</v>
      </c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7">
        <v>0</v>
      </c>
      <c r="K37" s="7">
        <v>0</v>
      </c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50">
        <f>SUM(J35:J37)</f>
        <v>0</v>
      </c>
      <c r="K38" s="50">
        <f>SUM(K35:K37)</f>
        <v>0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7">
        <v>1435501</v>
      </c>
      <c r="K39" s="7">
        <v>908043</v>
      </c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7">
        <v>0</v>
      </c>
      <c r="K40" s="7">
        <v>0</v>
      </c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7">
        <v>0</v>
      </c>
      <c r="K41" s="7">
        <v>0</v>
      </c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7">
        <v>0</v>
      </c>
      <c r="K42" s="7">
        <v>0</v>
      </c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7">
        <v>0</v>
      </c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50">
        <f>SUM(J39:J43)</f>
        <v>1435501</v>
      </c>
      <c r="K44" s="50">
        <f>SUM(K39:K43)</f>
        <v>908043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50">
        <f>IF(J38&gt;J44,J38-J44,0)</f>
        <v>0</v>
      </c>
      <c r="K45" s="50">
        <f>IF(K38&gt;K44,K38-K44,0)</f>
        <v>0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50">
        <f>IF(J44&gt;J38,J44-J38,0)</f>
        <v>1435501</v>
      </c>
      <c r="K46" s="50">
        <f>IF(K44&gt;K38,K44-K38,0)</f>
        <v>908043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50">
        <f>IF(J19-J20+J32-J33+J45-J46&gt;0,J19-J20+J32-J33+J45-J46,0)</f>
        <v>2872842</v>
      </c>
      <c r="K47" s="50">
        <f>IF(K19-K20+K32-K33+K45-K46&gt;0,K19-K20+K32-K33+K45-K46,0)</f>
        <v>3693522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50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7">
        <v>35867514</v>
      </c>
      <c r="K49" s="7">
        <f>Bilanca!J64</f>
        <v>35071451</v>
      </c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7">
        <v>2872842</v>
      </c>
      <c r="K50" s="7">
        <v>3693522</v>
      </c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7">
        <v>0</v>
      </c>
      <c r="K51" s="7"/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58">
        <f>J49+J50-J51</f>
        <v>38740356</v>
      </c>
      <c r="K52" s="58">
        <f>K49+K50-K51</f>
        <v>38764973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A26" sqref="A26:H2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3" t="s">
        <v>279</v>
      </c>
      <c r="J4" s="64" t="s">
        <v>316</v>
      </c>
      <c r="K4" s="64" t="s">
        <v>317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9">
        <v>2</v>
      </c>
      <c r="J5" s="70" t="s">
        <v>282</v>
      </c>
      <c r="K5" s="70" t="s">
        <v>283</v>
      </c>
    </row>
    <row r="6" spans="1:11" ht="12.75">
      <c r="A6" s="221" t="s">
        <v>156</v>
      </c>
      <c r="B6" s="237"/>
      <c r="C6" s="237"/>
      <c r="D6" s="237"/>
      <c r="E6" s="237"/>
      <c r="F6" s="237"/>
      <c r="G6" s="237"/>
      <c r="H6" s="237"/>
      <c r="I6" s="266"/>
      <c r="J6" s="266"/>
      <c r="K6" s="267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2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8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1" t="s">
        <v>159</v>
      </c>
      <c r="B22" s="237"/>
      <c r="C22" s="237"/>
      <c r="D22" s="237"/>
      <c r="E22" s="237"/>
      <c r="F22" s="237"/>
      <c r="G22" s="237"/>
      <c r="H22" s="237"/>
      <c r="I22" s="266"/>
      <c r="J22" s="266"/>
      <c r="K22" s="267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318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319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1" t="s">
        <v>160</v>
      </c>
      <c r="B35" s="237"/>
      <c r="C35" s="237"/>
      <c r="D35" s="237"/>
      <c r="E35" s="237"/>
      <c r="F35" s="237"/>
      <c r="G35" s="237"/>
      <c r="H35" s="237"/>
      <c r="I35" s="266">
        <v>0</v>
      </c>
      <c r="J35" s="266"/>
      <c r="K35" s="267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10.140625" style="73" bestFit="1" customWidth="1"/>
    <col min="12" max="16384" width="9.140625" style="73" customWidth="1"/>
  </cols>
  <sheetData>
    <row r="1" spans="1:12" ht="12.75">
      <c r="A1" s="281" t="s">
        <v>280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2"/>
    </row>
    <row r="2" spans="1:12" ht="15.75">
      <c r="A2" s="39"/>
      <c r="B2" s="71"/>
      <c r="C2" s="291" t="s">
        <v>281</v>
      </c>
      <c r="D2" s="291"/>
      <c r="E2" s="74" t="s">
        <v>355</v>
      </c>
      <c r="F2" s="40" t="s">
        <v>250</v>
      </c>
      <c r="G2" s="292" t="s">
        <v>356</v>
      </c>
      <c r="H2" s="293"/>
      <c r="I2" s="71"/>
      <c r="J2" s="71"/>
      <c r="K2" s="71"/>
      <c r="L2" s="75"/>
    </row>
    <row r="3" spans="1:11" ht="23.25">
      <c r="A3" s="294" t="s">
        <v>59</v>
      </c>
      <c r="B3" s="294"/>
      <c r="C3" s="294"/>
      <c r="D3" s="294"/>
      <c r="E3" s="294"/>
      <c r="F3" s="294"/>
      <c r="G3" s="294"/>
      <c r="H3" s="294"/>
      <c r="I3" s="78" t="s">
        <v>304</v>
      </c>
      <c r="J3" s="79" t="s">
        <v>150</v>
      </c>
      <c r="K3" s="79" t="s">
        <v>151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81">
        <v>2</v>
      </c>
      <c r="J4" s="80" t="s">
        <v>282</v>
      </c>
      <c r="K4" s="80" t="s">
        <v>283</v>
      </c>
    </row>
    <row r="5" spans="1:11" ht="12.75">
      <c r="A5" s="283" t="s">
        <v>284</v>
      </c>
      <c r="B5" s="284"/>
      <c r="C5" s="284"/>
      <c r="D5" s="284"/>
      <c r="E5" s="284"/>
      <c r="F5" s="284"/>
      <c r="G5" s="284"/>
      <c r="H5" s="284"/>
      <c r="I5" s="41">
        <v>1</v>
      </c>
      <c r="J5" s="42">
        <v>231845600</v>
      </c>
      <c r="K5" s="42">
        <f>Bilanca!K70</f>
        <v>231845600</v>
      </c>
    </row>
    <row r="6" spans="1:11" ht="12.75">
      <c r="A6" s="283" t="s">
        <v>285</v>
      </c>
      <c r="B6" s="284"/>
      <c r="C6" s="284"/>
      <c r="D6" s="284"/>
      <c r="E6" s="284"/>
      <c r="F6" s="284"/>
      <c r="G6" s="284"/>
      <c r="H6" s="284"/>
      <c r="I6" s="41">
        <v>2</v>
      </c>
      <c r="J6" s="43">
        <v>14715808</v>
      </c>
      <c r="K6" s="43">
        <f>Bilanca!K71</f>
        <v>14715808</v>
      </c>
    </row>
    <row r="7" spans="1:11" ht="12.75">
      <c r="A7" s="283" t="s">
        <v>286</v>
      </c>
      <c r="B7" s="284"/>
      <c r="C7" s="284"/>
      <c r="D7" s="284"/>
      <c r="E7" s="284"/>
      <c r="F7" s="284"/>
      <c r="G7" s="284"/>
      <c r="H7" s="284"/>
      <c r="I7" s="41">
        <v>3</v>
      </c>
      <c r="J7" s="43">
        <v>24302</v>
      </c>
      <c r="K7" s="43">
        <f>Bilanca!K72</f>
        <v>24302</v>
      </c>
    </row>
    <row r="8" spans="1:11" ht="12.75">
      <c r="A8" s="283" t="s">
        <v>287</v>
      </c>
      <c r="B8" s="284"/>
      <c r="C8" s="284"/>
      <c r="D8" s="284"/>
      <c r="E8" s="284"/>
      <c r="F8" s="284"/>
      <c r="G8" s="284"/>
      <c r="H8" s="284"/>
      <c r="I8" s="41">
        <v>4</v>
      </c>
      <c r="J8" s="43">
        <v>-86542076</v>
      </c>
      <c r="K8" s="43">
        <f>Bilanca!K79+Bilanca!K85</f>
        <v>-82485597</v>
      </c>
    </row>
    <row r="9" spans="1:11" ht="12.75">
      <c r="A9" s="283" t="s">
        <v>288</v>
      </c>
      <c r="B9" s="284"/>
      <c r="C9" s="284"/>
      <c r="D9" s="284"/>
      <c r="E9" s="284"/>
      <c r="F9" s="284"/>
      <c r="G9" s="284"/>
      <c r="H9" s="284"/>
      <c r="I9" s="41">
        <v>5</v>
      </c>
      <c r="J9" s="43">
        <f>Bilanca!J82</f>
        <v>-1144805</v>
      </c>
      <c r="K9" s="43">
        <f>Bilanca!K82</f>
        <v>1938171</v>
      </c>
    </row>
    <row r="10" spans="1:11" ht="12.75">
      <c r="A10" s="283" t="s">
        <v>289</v>
      </c>
      <c r="B10" s="284"/>
      <c r="C10" s="284"/>
      <c r="D10" s="284"/>
      <c r="E10" s="284"/>
      <c r="F10" s="284"/>
      <c r="G10" s="284"/>
      <c r="H10" s="284"/>
      <c r="I10" s="41">
        <v>6</v>
      </c>
      <c r="J10" s="43">
        <v>0</v>
      </c>
      <c r="K10" s="43">
        <v>0</v>
      </c>
    </row>
    <row r="11" spans="1:11" ht="12.75">
      <c r="A11" s="283" t="s">
        <v>290</v>
      </c>
      <c r="B11" s="284"/>
      <c r="C11" s="284"/>
      <c r="D11" s="284"/>
      <c r="E11" s="284"/>
      <c r="F11" s="284"/>
      <c r="G11" s="284"/>
      <c r="H11" s="284"/>
      <c r="I11" s="41">
        <v>7</v>
      </c>
      <c r="J11" s="43">
        <v>0</v>
      </c>
      <c r="K11" s="43">
        <v>0</v>
      </c>
    </row>
    <row r="12" spans="1:11" ht="12.75">
      <c r="A12" s="283" t="s">
        <v>291</v>
      </c>
      <c r="B12" s="284"/>
      <c r="C12" s="284"/>
      <c r="D12" s="284"/>
      <c r="E12" s="284"/>
      <c r="F12" s="284"/>
      <c r="G12" s="284"/>
      <c r="H12" s="284"/>
      <c r="I12" s="41">
        <v>8</v>
      </c>
      <c r="J12" s="43">
        <v>0</v>
      </c>
      <c r="K12" s="43">
        <v>0</v>
      </c>
    </row>
    <row r="13" spans="1:11" ht="12.75">
      <c r="A13" s="283" t="s">
        <v>292</v>
      </c>
      <c r="B13" s="284"/>
      <c r="C13" s="284"/>
      <c r="D13" s="284"/>
      <c r="E13" s="284"/>
      <c r="F13" s="284"/>
      <c r="G13" s="284"/>
      <c r="H13" s="284"/>
      <c r="I13" s="41">
        <v>9</v>
      </c>
      <c r="J13" s="43">
        <v>5394989</v>
      </c>
      <c r="K13" s="43">
        <v>5777984</v>
      </c>
    </row>
    <row r="14" spans="1:11" ht="12.75">
      <c r="A14" s="285" t="s">
        <v>293</v>
      </c>
      <c r="B14" s="286"/>
      <c r="C14" s="286"/>
      <c r="D14" s="286"/>
      <c r="E14" s="286"/>
      <c r="F14" s="286"/>
      <c r="G14" s="286"/>
      <c r="H14" s="286"/>
      <c r="I14" s="41">
        <v>10</v>
      </c>
      <c r="J14" s="76">
        <f>SUM(J5:J13)</f>
        <v>164293818</v>
      </c>
      <c r="K14" s="76">
        <f>SUM(K5:K13)</f>
        <v>171816268</v>
      </c>
    </row>
    <row r="15" spans="1:11" ht="12.75">
      <c r="A15" s="283" t="s">
        <v>294</v>
      </c>
      <c r="B15" s="284"/>
      <c r="C15" s="284"/>
      <c r="D15" s="284"/>
      <c r="E15" s="284"/>
      <c r="F15" s="284"/>
      <c r="G15" s="284"/>
      <c r="H15" s="284"/>
      <c r="I15" s="41">
        <v>11</v>
      </c>
      <c r="J15" s="43">
        <v>0</v>
      </c>
      <c r="K15" s="43">
        <v>0</v>
      </c>
    </row>
    <row r="16" spans="1:11" ht="12.75">
      <c r="A16" s="283" t="s">
        <v>295</v>
      </c>
      <c r="B16" s="284"/>
      <c r="C16" s="284"/>
      <c r="D16" s="284"/>
      <c r="E16" s="284"/>
      <c r="F16" s="284"/>
      <c r="G16" s="284"/>
      <c r="H16" s="284"/>
      <c r="I16" s="41">
        <v>12</v>
      </c>
      <c r="J16" s="43">
        <v>0</v>
      </c>
      <c r="K16" s="43">
        <v>0</v>
      </c>
    </row>
    <row r="17" spans="1:11" ht="12.75">
      <c r="A17" s="283" t="s">
        <v>296</v>
      </c>
      <c r="B17" s="284"/>
      <c r="C17" s="284"/>
      <c r="D17" s="284"/>
      <c r="E17" s="284"/>
      <c r="F17" s="284"/>
      <c r="G17" s="284"/>
      <c r="H17" s="284"/>
      <c r="I17" s="41">
        <v>13</v>
      </c>
      <c r="J17" s="43">
        <v>0</v>
      </c>
      <c r="K17" s="43">
        <v>0</v>
      </c>
    </row>
    <row r="18" spans="1:11" ht="12.75">
      <c r="A18" s="283" t="s">
        <v>297</v>
      </c>
      <c r="B18" s="284"/>
      <c r="C18" s="284"/>
      <c r="D18" s="284"/>
      <c r="E18" s="284"/>
      <c r="F18" s="284"/>
      <c r="G18" s="284"/>
      <c r="H18" s="284"/>
      <c r="I18" s="41">
        <v>14</v>
      </c>
      <c r="J18" s="43">
        <v>0</v>
      </c>
      <c r="K18" s="43">
        <v>0</v>
      </c>
    </row>
    <row r="19" spans="1:11" ht="12.75">
      <c r="A19" s="283" t="s">
        <v>298</v>
      </c>
      <c r="B19" s="284"/>
      <c r="C19" s="284"/>
      <c r="D19" s="284"/>
      <c r="E19" s="284"/>
      <c r="F19" s="284"/>
      <c r="G19" s="284"/>
      <c r="H19" s="284"/>
      <c r="I19" s="41">
        <v>15</v>
      </c>
      <c r="J19" s="43">
        <v>0</v>
      </c>
      <c r="K19" s="43">
        <v>0</v>
      </c>
    </row>
    <row r="20" spans="1:11" ht="12.75">
      <c r="A20" s="283" t="s">
        <v>299</v>
      </c>
      <c r="B20" s="284"/>
      <c r="C20" s="284"/>
      <c r="D20" s="284"/>
      <c r="E20" s="284"/>
      <c r="F20" s="284"/>
      <c r="G20" s="284"/>
      <c r="H20" s="284"/>
      <c r="I20" s="41">
        <v>16</v>
      </c>
      <c r="J20" s="43">
        <v>-523827</v>
      </c>
      <c r="K20" s="43">
        <f>K14-J14</f>
        <v>7522450</v>
      </c>
    </row>
    <row r="21" spans="1:11" ht="12.75">
      <c r="A21" s="285" t="s">
        <v>300</v>
      </c>
      <c r="B21" s="286"/>
      <c r="C21" s="286"/>
      <c r="D21" s="286"/>
      <c r="E21" s="286"/>
      <c r="F21" s="286"/>
      <c r="G21" s="286"/>
      <c r="H21" s="286"/>
      <c r="I21" s="41">
        <v>17</v>
      </c>
      <c r="J21" s="77">
        <f>SUM(J15:J20)</f>
        <v>-523827</v>
      </c>
      <c r="K21" s="77">
        <f>SUM(K15:K20)</f>
        <v>7522450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5" t="s">
        <v>301</v>
      </c>
      <c r="B23" s="276"/>
      <c r="C23" s="276"/>
      <c r="D23" s="276"/>
      <c r="E23" s="276"/>
      <c r="F23" s="276"/>
      <c r="G23" s="276"/>
      <c r="H23" s="276"/>
      <c r="I23" s="44">
        <v>18</v>
      </c>
      <c r="J23" s="42"/>
      <c r="K23" s="42"/>
    </row>
    <row r="24" spans="1:11" ht="17.25" customHeight="1">
      <c r="A24" s="277" t="s">
        <v>302</v>
      </c>
      <c r="B24" s="278"/>
      <c r="C24" s="278"/>
      <c r="D24" s="278"/>
      <c r="E24" s="278"/>
      <c r="F24" s="278"/>
      <c r="G24" s="278"/>
      <c r="H24" s="278"/>
      <c r="I24" s="45">
        <v>19</v>
      </c>
      <c r="J24" s="77"/>
      <c r="K24" s="77"/>
    </row>
    <row r="25" spans="1:11" ht="30" customHeight="1">
      <c r="A25" s="279" t="s">
        <v>303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9"/>
  <sheetViews>
    <sheetView view="pageBreakPreview" zoomScale="110" zoomScaleSheetLayoutView="110" zoomScalePageLayoutView="0" workbookViewId="0" topLeftCell="A1">
      <selection activeCell="A22" sqref="A22"/>
    </sheetView>
  </sheetViews>
  <sheetFormatPr defaultColWidth="9.140625" defaultRowHeight="12.75"/>
  <cols>
    <col min="1" max="1" width="136.57421875" style="0" customWidth="1"/>
    <col min="2" max="2" width="11.140625" style="0" customWidth="1"/>
  </cols>
  <sheetData>
    <row r="1" ht="12.75">
      <c r="A1" s="124"/>
    </row>
    <row r="2" ht="18">
      <c r="A2" s="126" t="s">
        <v>361</v>
      </c>
    </row>
    <row r="3" ht="12.75">
      <c r="A3" s="124"/>
    </row>
    <row r="5" ht="12.75">
      <c r="A5" s="125"/>
    </row>
    <row r="6" ht="12.75">
      <c r="A6" s="125"/>
    </row>
    <row r="7" ht="15">
      <c r="A7" s="129" t="s">
        <v>333</v>
      </c>
    </row>
    <row r="8" ht="15">
      <c r="A8" s="129"/>
    </row>
    <row r="9" ht="15">
      <c r="A9" s="129" t="s">
        <v>334</v>
      </c>
    </row>
    <row r="10" ht="15">
      <c r="A10" s="129"/>
    </row>
    <row r="11" ht="15">
      <c r="A11" s="129" t="s">
        <v>335</v>
      </c>
    </row>
    <row r="12" ht="15">
      <c r="A12" s="129"/>
    </row>
    <row r="13" ht="15">
      <c r="A13" s="129" t="s">
        <v>336</v>
      </c>
    </row>
    <row r="14" ht="15">
      <c r="A14" s="129"/>
    </row>
    <row r="15" ht="15">
      <c r="A15" s="129" t="s">
        <v>337</v>
      </c>
    </row>
    <row r="16" ht="15">
      <c r="A16" s="129"/>
    </row>
    <row r="17" ht="15">
      <c r="A17" s="129" t="s">
        <v>362</v>
      </c>
    </row>
    <row r="18" s="128" customFormat="1" ht="15">
      <c r="A18" s="129" t="s">
        <v>363</v>
      </c>
    </row>
    <row r="19" ht="15">
      <c r="A19" s="129" t="s">
        <v>364</v>
      </c>
    </row>
    <row r="20" ht="15">
      <c r="A20" s="129"/>
    </row>
    <row r="21" ht="15">
      <c r="A21" s="129" t="s">
        <v>366</v>
      </c>
    </row>
    <row r="22" ht="15">
      <c r="A22" s="129"/>
    </row>
    <row r="23" ht="15">
      <c r="A23" s="129" t="s">
        <v>338</v>
      </c>
    </row>
    <row r="24" ht="15">
      <c r="A24" s="129"/>
    </row>
    <row r="25" ht="15">
      <c r="A25" s="129" t="s">
        <v>365</v>
      </c>
    </row>
    <row r="26" ht="15">
      <c r="A26" s="129"/>
    </row>
    <row r="27" ht="15">
      <c r="A27" s="129" t="s">
        <v>339</v>
      </c>
    </row>
    <row r="28" ht="15">
      <c r="A28" s="129"/>
    </row>
    <row r="29" ht="15">
      <c r="A29" s="129" t="s">
        <v>340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Lidija Pletenac</cp:lastModifiedBy>
  <cp:lastPrinted>2017-10-30T20:03:29Z</cp:lastPrinted>
  <dcterms:created xsi:type="dcterms:W3CDTF">2008-10-17T11:51:54Z</dcterms:created>
  <dcterms:modified xsi:type="dcterms:W3CDTF">2017-10-30T20:03:55Z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