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<sst xmlns="http://schemas.openxmlformats.org/spreadsheetml/2006/main" count="424" uniqueCount="367">
  <si>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</si>
  <si>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</si>
  <si>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</si>
  <si>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</si>
  <si>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</si>
  <si>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</si>
  <si>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</si>
  <si>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</si>
  <si>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</si>
  <si>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</si>
  <si>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</si>
  <si>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</si>
  <si>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</si>
  <si>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</si>
  <si>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</si>
  <si>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</si>
  <si>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</si>
  <si>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</si>
  <si>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</si>
  <si>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</si>
  <si>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</si>
  <si>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</si>
  <si>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</si>
  <si>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</si>
  <si>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</si>
  <si>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</si>
  <si>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</si>
  <si>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</si>
  <si>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</si>
  <si>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</si>
  <si>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</si>
  <si>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</si>
  <si>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</si>
  <si>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</si>
  <si>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</si>
  <si>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</si>
  <si>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</si>
  <si>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</si>
  <si>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</si>
  <si>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</si>
  <si>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</si>
  <si>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</si>
  <si>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</si>
  <si>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</si>
  <si>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</si>
  <si>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</si>
  <si>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</si>
  <si>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</si>
  <si>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</si>
  <si>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</si>
  <si>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</si>
  <si>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</si>
  <si>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</si>
  <si>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</si>
  <si>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</si>
  <si>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</si>
  <si>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</si>
  <si>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</si>
  <si>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</si>
  <si>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</si>
  <si>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</si>
  <si>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</si>
  <si>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</si>
  <si>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</si>
  <si>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</si>
  <si>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</si>
  <si>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</si>
  <si>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</si>
  <si>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</si>
  <si>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</si>
  <si>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</si>
  <si>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</si>
  <si>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</si>
  <si>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</si>
  <si>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</si>
  <si>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</si>
  <si>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</si>
  <si>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</si>
  <si>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</si>
  <si>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</si>
  <si>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</si>
  <si>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</si>
  <si>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</si>
  <si>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</si>
  <si>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</si>
  <si>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</si>
  <si>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</si>
  <si>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</si>
  <si>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</si>
  <si>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</si>
  <si>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</si>
  <si>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</si>
  <si>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</si>
  <si>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</si>
  <si>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</si>
  <si>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</si>
  <si>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</si>
  <si>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</si>
  <si>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</si>
  <si>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</si>
  <si>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</si>
  <si>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</si>
  <si>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</si>
  <si>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</si>
  <si>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</si>
  <si>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</si>
  <si>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</si>
  <si>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</si>
  <si>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</si>
  <si>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</si>
  <si>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</si>
  <si>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</si>
  <si>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</si>
  <si>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</si>
  <si>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</si>
  <si>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</si>
  <si>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</si>
  <si>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</si>
  <si>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</si>
  <si>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</si>
  <si>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</si>
  <si>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</si>
  <si>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</si>
  <si>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</si>
  <si>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</si>
  <si>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</si>
  <si>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</si>
  <si>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</si>
  <si>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</si>
  <si>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</si>
  <si>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</si>
  <si>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</si>
  <si>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</si>
  <si>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</si>
  <si>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</si>
  <si>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</si>
  <si>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</si>
  <si>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</si>
  <si>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</si>
  <si>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</si>
  <si>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</si>
  <si>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</si>
  <si>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</si>
  <si>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</si>
  <si>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</si>
  <si>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</si>
  <si>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</si>
  <si>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</si>
  <si>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</si>
  <si>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</si>
  <si>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</si>
  <si>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</si>
  <si>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</si>
  <si>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</si>
  <si>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</si>
  <si>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</si>
  <si>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</si>
  <si>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</si>
  <si>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</si>
  <si>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</si>
  <si>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</si>
  <si>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</si>
  <si>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</si>
  <si>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</si>
  <si>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</si>
  <si>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</si>
  <si>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</si>
  <si>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</si>
  <si>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</si>
  <si>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</si>
  <si>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</si>
  <si>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</si>
  <si>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</si>
  <si>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</si>
  <si>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</si>
  <si>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</si>
  <si>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</si>
  <si>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</si>
  <si>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</si>
  <si>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</si>
  <si>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</si>
  <si>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</si>
  <si>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</si>
  <si>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</si>
  <si>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</si>
  <si>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</si>
  <si>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</si>
  <si>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</si>
  <si>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</si>
  <si>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</si>
  <si>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</si>
  <si>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</si>
  <si>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</si>
  <si>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</si>
  <si>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</si>
  <si>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</si>
  <si>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</si>
  <si>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</si>
  <si>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</si>
  <si>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</si>
  <si>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</si>
  <si>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</si>
  <si>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</si>
  <si>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</si>
  <si>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</si>
  <si>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</si>
  <si>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</si>
  <si>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</si>
  <si>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</si>
  <si>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</si>
  <si>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</si>
  <si>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</si>
  <si>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</si>
  <si>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</si>
  <si>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</si>
  <si>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</si>
  <si>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</si>
  <si>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</si>
  <si>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</si>
  <si>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</si>
  <si>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</si>
  <si>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</si>
  <si>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</si>
  <si>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</si>
  <si>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</si>
  <si>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</si>
  <si>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</si>
  <si>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</si>
  <si>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</si>
  <si>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</si>
  <si>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</si>
  <si>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</si>
  <si>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</si>
  <si>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</si>
  <si>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</si>
  <si>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</si>
  <si>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</si>
  <si>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</si>
  <si>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</si>
  <si>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</si>
  <si>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</si>
  <si>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</si>
  <si>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</si>
  <si>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</si>
  <si>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</si>
  <si>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</si>
  <si>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</si>
  <si>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</si>
  <si>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</si>
  <si>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</si>
  <si>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</si>
  <si>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</si>
  <si>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</si>
  <si>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</si>
  <si>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</si>
  <si>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</si>
  <si>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</si>
  <si>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</si>
  <si>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</si>
  <si>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</si>
  <si>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</si>
  <si>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</si>
  <si>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</si>
  <si>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</si>
  <si>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</si>
  <si>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</si>
  <si>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</si>
  <si>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</si>
  <si>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</si>
  <si>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</si>
  <si>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</si>
  <si>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</si>
  <si>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</si>
  <si>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</si>
  <si>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</si>
  <si>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</si>
  <si>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</si>
  <si>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</si>
  <si>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</si>
  <si>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</si>
  <si>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</si>
  <si>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</si>
  <si>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</si>
  <si>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</si>
  <si>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</si>
  <si>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</si>
  <si>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</si>
  <si>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</si>
  <si>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</si>
  <si>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</si>
  <si>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</si>
  <si>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</si>
  <si>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</si>
  <si>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</si>
  <si>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</si>
  <si>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</si>
  <si>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</si>
  <si>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</si>
  <si>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</si>
  <si>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</si>
  <si>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</si>
  <si>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</si>
  <si>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</si>
  <si>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</si>
  <si>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</si>
  <si>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</si>
  <si>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</si>
  <si>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</si>
  <si>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</si>
  <si>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</si>
  <si>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</si>
  <si>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</si>
  <si>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</si>
  <si>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</si>
  <si>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</si>
  <si>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</si>
  <si>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</si>
  <si>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</si>
  <si>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</si>
  <si>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</si>
  <si>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03040135</t>
  </si>
  <si>
    <t>04031685</t>
  </si>
  <si>
    <t>84596290185</t>
  </si>
  <si>
    <t>LOŠINJSKA PLOVIDBA HOLDING DD KONSOLIDIRANI</t>
  </si>
  <si>
    <t>MALI LOŠINJ</t>
  </si>
  <si>
    <t>PRIVLAKA 19</t>
  </si>
  <si>
    <t>PRIMORSKO-GORANSKA</t>
  </si>
  <si>
    <t>DA</t>
  </si>
  <si>
    <t>5020</t>
  </si>
  <si>
    <t>LOŠINJSKA PLOVIDBA BRODARSTVO d.o.o.</t>
  </si>
  <si>
    <t>03040151</t>
  </si>
  <si>
    <t>LOŠINJSKA PLOVIDBA BRODOGRADILIŠTE d.o.o.</t>
  </si>
  <si>
    <t>03040143</t>
  </si>
  <si>
    <t>LOŠINJSKA PLOVIDBA TURIZAM d.o.o.</t>
  </si>
  <si>
    <t>03040160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</si>
  <si>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</si>
  <si>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</si>
  <si>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</si>
  <si>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</si>
  <si>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</si>
  <si>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 xml:space="preserve">U usporedbi s istim razdobljem prethodne godine društvo je ostvarilo gubitak. Recesija se još jako osjeća na međunarodnom tržištu. </t>
  </si>
  <si>
    <t>U odnosu na plan, prihodi su umanjeni.</t>
  </si>
  <si>
    <t>Djelatnost je pomorski prijevoz robe i putnika, popravak brodova, turizam i ugostiteljstvo.</t>
  </si>
  <si>
    <t>Gubitak je ostvaren zbog gore navedenih razloga.</t>
  </si>
  <si>
    <t>Nije bilo promjena računovodstvenih politika u promatranom razdoblju.</t>
  </si>
  <si>
    <t>Negativno rješavanje sudskih sporova može otežati poslovanje.</t>
  </si>
  <si>
    <t>MIODRAG KLIČKOVIĆ</t>
  </si>
  <si>
    <t>051750267</t>
  </si>
  <si>
    <t>051231811</t>
  </si>
  <si>
    <t>miodrag.klickovic@losinia.hr</t>
  </si>
  <si>
    <t>ĐANINO SUČIĆ</t>
  </si>
  <si>
    <t>1282166</t>
  </si>
  <si>
    <t>MORUS ALBA d.o.o.</t>
  </si>
  <si>
    <t>1. Financijski izvještaji (bilanca, račun dobiti i gubitka, izvještaj o novčanom tijeku, izvještaj o promjenama</t>
  </si>
  <si>
    <t>www.lp-holding.hr</t>
  </si>
  <si>
    <t>lp-holding@losinjplov.com.hr</t>
  </si>
  <si>
    <t>01.01.2014.</t>
  </si>
  <si>
    <t>30.06.2014.</t>
  </si>
  <si>
    <t>stanje na dan 30.06.2014.</t>
  </si>
  <si>
    <t>u razdoblju 01.01.2014. do 30.06.2014.</t>
  </si>
  <si>
    <t>Obveznik: LOŠINJSKA PLOVIDBA HOLDING d.d. KONSOLIDIRANI</t>
  </si>
  <si>
    <t>Bilješke uz nerevid.financ. izvještaje Lošinjska plovidba Holding konsolidirani TFI-POD-30.06.2014.</t>
  </si>
  <si>
    <t>Lošinjska plovidba Brodarstvo d.o.o. u likvidaciji je prodala sve brodove.</t>
  </si>
  <si>
    <t>Imateljima kapitala matice pripisan je gubitak od 9.807.029 kuna.</t>
  </si>
  <si>
    <t xml:space="preserve">Konsolidirano Brodarstvo je ostvarilo gubitak od 20.415.897 KN, Brodogradilište dobitak nakon oporezivanja od 127.654 KN,  </t>
  </si>
  <si>
    <t>konsolidirani Holding dobitak od 443.708 KN i Turizam dobitak nakon oporezivanja u iznosu od 7.095 KN.</t>
  </si>
  <si>
    <t>Gubitak pripisan manjinskom interesu u iznosu od 10.174.448 KN odnosi se na Brodarstvo.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</si>
</sst>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>
      <alignment vertical="top"/>
      <protection/>
    </xf>
    <xf numFmtId="0" fontId="9" fillId="0" borderId="0" xfId="61" applyFont="1" applyAlignment="1">
      <alignment/>
      <protection/>
    </xf>
    <xf numFmtId="0" fontId="19" fillId="0" borderId="0" xfId="0" applyFont="1" applyAlignment="1">
      <alignment/>
    </xf>
    <xf numFmtId="3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18" fillId="0" borderId="0" xfId="61" applyFont="1" applyFill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3" fillId="0" borderId="0" xfId="61" applyFont="1" applyFill="1" applyBorder="1" applyAlignment="1" applyProtection="1">
      <alignment horizontal="left"/>
      <protection hidden="1"/>
    </xf>
    <xf numFmtId="0" fontId="9" fillId="0" borderId="0" xfId="61" applyFill="1" applyBorder="1" applyAlignment="1">
      <alignment/>
      <protection/>
    </xf>
    <xf numFmtId="0" fontId="9" fillId="0" borderId="25" xfId="61" applyFill="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lp-holding.hr/" TargetMode="External" /><Relationship Id="rId3" Type="http://schemas.openxmlformats.org/officeDocument/2006/relationships/hyperlink" Target="mailto:lp-holding@losinjplov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8" sqref="H38:I3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40"/>
      <c r="C1" s="14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17">
        <v>41640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7" t="s">
        <v>314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0" t="s">
        <v>251</v>
      </c>
      <c r="B6" s="161"/>
      <c r="C6" s="152" t="s">
        <v>320</v>
      </c>
      <c r="D6" s="15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62" t="s">
        <v>252</v>
      </c>
      <c r="B8" s="163"/>
      <c r="C8" s="152" t="s">
        <v>321</v>
      </c>
      <c r="D8" s="15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9" t="s">
        <v>253</v>
      </c>
      <c r="B10" s="150"/>
      <c r="C10" s="152" t="s">
        <v>322</v>
      </c>
      <c r="D10" s="15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0" t="s">
        <v>254</v>
      </c>
      <c r="B12" s="161"/>
      <c r="C12" s="164" t="s">
        <v>323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0" t="s">
        <v>255</v>
      </c>
      <c r="B14" s="161"/>
      <c r="C14" s="170">
        <v>51550</v>
      </c>
      <c r="D14" s="171"/>
      <c r="E14" s="16"/>
      <c r="F14" s="164" t="s">
        <v>324</v>
      </c>
      <c r="G14" s="165"/>
      <c r="H14" s="165"/>
      <c r="I14" s="16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0" t="s">
        <v>256</v>
      </c>
      <c r="B16" s="161"/>
      <c r="C16" s="164" t="s">
        <v>325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0" t="s">
        <v>257</v>
      </c>
      <c r="B18" s="161"/>
      <c r="C18" s="167" t="s">
        <v>355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0" t="s">
        <v>258</v>
      </c>
      <c r="B20" s="161"/>
      <c r="C20" s="167" t="s">
        <v>354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0" t="s">
        <v>259</v>
      </c>
      <c r="B22" s="161"/>
      <c r="C22" s="118">
        <v>252</v>
      </c>
      <c r="D22" s="164" t="s">
        <v>324</v>
      </c>
      <c r="E22" s="172"/>
      <c r="F22" s="173"/>
      <c r="G22" s="160"/>
      <c r="H22" s="17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0" t="s">
        <v>260</v>
      </c>
      <c r="B24" s="161"/>
      <c r="C24" s="118">
        <v>8</v>
      </c>
      <c r="D24" s="164" t="s">
        <v>326</v>
      </c>
      <c r="E24" s="172"/>
      <c r="F24" s="172"/>
      <c r="G24" s="173"/>
      <c r="H24" s="48" t="s">
        <v>261</v>
      </c>
      <c r="I24" s="127">
        <v>197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95"/>
      <c r="J25" s="10"/>
      <c r="K25" s="10"/>
      <c r="L25" s="10"/>
    </row>
    <row r="26" spans="1:12" ht="12.75">
      <c r="A26" s="160" t="s">
        <v>262</v>
      </c>
      <c r="B26" s="161"/>
      <c r="C26" s="119" t="s">
        <v>327</v>
      </c>
      <c r="D26" s="25"/>
      <c r="E26" s="33"/>
      <c r="F26" s="24"/>
      <c r="G26" s="174" t="s">
        <v>263</v>
      </c>
      <c r="H26" s="161"/>
      <c r="I26" s="123" t="s">
        <v>328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3" t="s">
        <v>264</v>
      </c>
      <c r="B28" s="144"/>
      <c r="C28" s="141"/>
      <c r="D28" s="141"/>
      <c r="E28" s="133" t="s">
        <v>265</v>
      </c>
      <c r="F28" s="134"/>
      <c r="G28" s="134"/>
      <c r="H28" s="135" t="s">
        <v>266</v>
      </c>
      <c r="I28" s="136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4" t="s">
        <v>329</v>
      </c>
      <c r="B30" s="172"/>
      <c r="C30" s="172"/>
      <c r="D30" s="173"/>
      <c r="E30" s="147" t="s">
        <v>324</v>
      </c>
      <c r="F30" s="148"/>
      <c r="G30" s="142"/>
      <c r="H30" s="152" t="s">
        <v>330</v>
      </c>
      <c r="I30" s="153"/>
      <c r="J30" s="10"/>
      <c r="K30" s="10"/>
      <c r="L30" s="10"/>
    </row>
    <row r="31" spans="1:12" ht="12.75">
      <c r="A31" s="91"/>
      <c r="B31" s="22"/>
      <c r="C31" s="21"/>
      <c r="D31" s="145"/>
      <c r="E31" s="145"/>
      <c r="F31" s="145"/>
      <c r="G31" s="146"/>
      <c r="H31" s="16"/>
      <c r="I31" s="98"/>
      <c r="J31" s="10"/>
      <c r="K31" s="10"/>
      <c r="L31" s="10"/>
    </row>
    <row r="32" spans="1:12" ht="12.75">
      <c r="A32" s="164" t="s">
        <v>331</v>
      </c>
      <c r="B32" s="172"/>
      <c r="C32" s="172"/>
      <c r="D32" s="173"/>
      <c r="E32" s="147" t="s">
        <v>324</v>
      </c>
      <c r="F32" s="148"/>
      <c r="G32" s="142"/>
      <c r="H32" s="152" t="s">
        <v>332</v>
      </c>
      <c r="I32" s="153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4" t="s">
        <v>333</v>
      </c>
      <c r="B34" s="172"/>
      <c r="C34" s="172"/>
      <c r="D34" s="173"/>
      <c r="E34" s="147" t="s">
        <v>324</v>
      </c>
      <c r="F34" s="148"/>
      <c r="G34" s="142"/>
      <c r="H34" s="152" t="s">
        <v>334</v>
      </c>
      <c r="I34" s="153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4" t="s">
        <v>352</v>
      </c>
      <c r="B36" s="172"/>
      <c r="C36" s="172"/>
      <c r="D36" s="173"/>
      <c r="E36" s="147" t="s">
        <v>324</v>
      </c>
      <c r="F36" s="148"/>
      <c r="G36" s="142"/>
      <c r="H36" s="152" t="s">
        <v>351</v>
      </c>
      <c r="I36" s="153"/>
      <c r="J36" s="10"/>
      <c r="K36" s="10"/>
      <c r="L36" s="10"/>
    </row>
    <row r="37" spans="1:12" ht="12.75">
      <c r="A37" s="100"/>
      <c r="B37" s="30"/>
      <c r="C37" s="130"/>
      <c r="D37" s="131"/>
      <c r="E37" s="16"/>
      <c r="F37" s="130"/>
      <c r="G37" s="131"/>
      <c r="H37" s="16"/>
      <c r="I37" s="92"/>
      <c r="J37" s="10"/>
      <c r="K37" s="10"/>
      <c r="L37" s="10"/>
    </row>
    <row r="38" spans="1:12" ht="12.75">
      <c r="A38" s="164"/>
      <c r="B38" s="172"/>
      <c r="C38" s="172"/>
      <c r="D38" s="173"/>
      <c r="E38" s="147"/>
      <c r="F38" s="148"/>
      <c r="G38" s="142"/>
      <c r="H38" s="152"/>
      <c r="I38" s="153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37"/>
      <c r="B40" s="138"/>
      <c r="C40" s="138"/>
      <c r="D40" s="178"/>
      <c r="E40" s="137"/>
      <c r="F40" s="138"/>
      <c r="G40" s="138"/>
      <c r="H40" s="152"/>
      <c r="I40" s="15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9" t="s">
        <v>267</v>
      </c>
      <c r="B44" s="183"/>
      <c r="C44" s="152"/>
      <c r="D44" s="153"/>
      <c r="E44" s="26"/>
      <c r="F44" s="164"/>
      <c r="G44" s="138"/>
      <c r="H44" s="138"/>
      <c r="I44" s="178"/>
      <c r="J44" s="10"/>
      <c r="K44" s="10"/>
      <c r="L44" s="10"/>
    </row>
    <row r="45" spans="1:12" ht="12.75">
      <c r="A45" s="100"/>
      <c r="B45" s="30"/>
      <c r="C45" s="130"/>
      <c r="D45" s="131"/>
      <c r="E45" s="16"/>
      <c r="F45" s="130"/>
      <c r="G45" s="132"/>
      <c r="H45" s="35"/>
      <c r="I45" s="104"/>
      <c r="J45" s="10"/>
      <c r="K45" s="10"/>
      <c r="L45" s="10"/>
    </row>
    <row r="46" spans="1:12" ht="12.75">
      <c r="A46" s="149" t="s">
        <v>268</v>
      </c>
      <c r="B46" s="183"/>
      <c r="C46" s="164" t="s">
        <v>346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9" t="s">
        <v>270</v>
      </c>
      <c r="B48" s="183"/>
      <c r="C48" s="184" t="s">
        <v>347</v>
      </c>
      <c r="D48" s="185"/>
      <c r="E48" s="186"/>
      <c r="F48" s="16"/>
      <c r="G48" s="48" t="s">
        <v>271</v>
      </c>
      <c r="H48" s="184" t="s">
        <v>348</v>
      </c>
      <c r="I48" s="186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9" t="s">
        <v>257</v>
      </c>
      <c r="B50" s="183"/>
      <c r="C50" s="189" t="s">
        <v>349</v>
      </c>
      <c r="D50" s="185"/>
      <c r="E50" s="185"/>
      <c r="F50" s="185"/>
      <c r="G50" s="185"/>
      <c r="H50" s="185"/>
      <c r="I50" s="186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0" t="s">
        <v>272</v>
      </c>
      <c r="B52" s="161"/>
      <c r="C52" s="184" t="s">
        <v>350</v>
      </c>
      <c r="D52" s="185"/>
      <c r="E52" s="185"/>
      <c r="F52" s="185"/>
      <c r="G52" s="185"/>
      <c r="H52" s="185"/>
      <c r="I52" s="166"/>
      <c r="J52" s="10"/>
      <c r="K52" s="10"/>
      <c r="L52" s="10"/>
    </row>
    <row r="53" spans="1:12" ht="12.75">
      <c r="A53" s="105"/>
      <c r="B53" s="20"/>
      <c r="C53" s="179" t="s">
        <v>273</v>
      </c>
      <c r="D53" s="179"/>
      <c r="E53" s="179"/>
      <c r="F53" s="179"/>
      <c r="G53" s="179"/>
      <c r="H53" s="17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0" t="s">
        <v>274</v>
      </c>
      <c r="C55" s="191"/>
      <c r="D55" s="191"/>
      <c r="E55" s="191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92" t="s">
        <v>353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5"/>
      <c r="B57" s="192" t="s">
        <v>305</v>
      </c>
      <c r="C57" s="193"/>
      <c r="D57" s="193"/>
      <c r="E57" s="193"/>
      <c r="F57" s="193"/>
      <c r="G57" s="193"/>
      <c r="H57" s="193"/>
      <c r="I57" s="107"/>
      <c r="J57" s="10"/>
      <c r="K57" s="10"/>
      <c r="L57" s="10"/>
    </row>
    <row r="58" spans="1:12" ht="12.75">
      <c r="A58" s="105"/>
      <c r="B58" s="192" t="s">
        <v>306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5"/>
      <c r="B59" s="195" t="s">
        <v>307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7"/>
      <c r="H63" s="188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miodrag.klickovic@losinia.hr"/>
    <hyperlink ref="C20" r:id="rId2" display="www.lp-holding.hr"/>
    <hyperlink ref="C18" r:id="rId3" display="lp-holding@losinjplov.com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H38" sqref="H38:I38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358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360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5" t="s">
        <v>278</v>
      </c>
      <c r="J4" s="56" t="s">
        <v>316</v>
      </c>
      <c r="K4" s="57" t="s">
        <v>317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54">
        <v>2</v>
      </c>
      <c r="J5" s="53">
        <v>3</v>
      </c>
      <c r="K5" s="53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164568168</v>
      </c>
      <c r="K8" s="50">
        <f>K9+K16+K26+K35+K39</f>
        <v>143947532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0">
        <f>SUM(J10:J15)</f>
        <v>846283</v>
      </c>
      <c r="K9" s="50">
        <f>SUM(K10:K15)</f>
        <v>795352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48959</v>
      </c>
      <c r="K10" s="7">
        <v>32813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11500</v>
      </c>
      <c r="K11" s="7">
        <v>10063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126528</v>
      </c>
      <c r="K12" s="7">
        <v>88180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659296</v>
      </c>
      <c r="K14" s="7">
        <v>664296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0</v>
      </c>
      <c r="K15" s="7">
        <v>0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0">
        <f>SUM(J17:J25)</f>
        <v>76111131</v>
      </c>
      <c r="K16" s="50">
        <f>SUM(K17:K25)</f>
        <v>74035361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20825607</v>
      </c>
      <c r="K17" s="7">
        <v>20825607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39618717</v>
      </c>
      <c r="K18" s="7">
        <v>37854287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2226109</v>
      </c>
      <c r="K19" s="7">
        <f>2132799+6408</f>
        <v>2139207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457223</v>
      </c>
      <c r="K20" s="7">
        <v>1332230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0</v>
      </c>
      <c r="K22" s="7">
        <v>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3071222</v>
      </c>
      <c r="K23" s="7">
        <v>3079222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198470</v>
      </c>
      <c r="K24" s="7">
        <v>198470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9713783</v>
      </c>
      <c r="K25" s="7">
        <v>8606338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0">
        <f>SUM(J27:J34)</f>
        <v>87357422</v>
      </c>
      <c r="K26" s="50">
        <f>SUM(K27:K34)</f>
        <v>68863487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0</v>
      </c>
      <c r="K27" s="7">
        <v>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0</v>
      </c>
      <c r="K28" s="7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2904174</v>
      </c>
      <c r="K29" s="7">
        <v>1333803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10354434</v>
      </c>
      <c r="K30" s="7">
        <v>10379209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1733339</v>
      </c>
      <c r="K31" s="7">
        <v>1733339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693627</v>
      </c>
      <c r="K32" s="7">
        <v>132184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236</v>
      </c>
      <c r="K33" s="7">
        <v>236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71671612</v>
      </c>
      <c r="K34" s="7">
        <v>55284716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0</v>
      </c>
      <c r="K37" s="7">
        <v>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253332</v>
      </c>
      <c r="K39" s="7">
        <v>253332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81102895</v>
      </c>
      <c r="K40" s="50">
        <f>K41+K49+K56+K64</f>
        <v>76407707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0">
        <f>SUM(J42:J48)</f>
        <v>3033339</v>
      </c>
      <c r="K41" s="50">
        <f>SUM(K42:K48)</f>
        <v>3032049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3008138</v>
      </c>
      <c r="K42" s="7">
        <v>3000127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0</v>
      </c>
      <c r="K43" s="7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0</v>
      </c>
      <c r="K44" s="7">
        <v>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25201</v>
      </c>
      <c r="K45" s="7">
        <v>31922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0</v>
      </c>
      <c r="K46" s="7">
        <v>0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0">
        <f>SUM(J50:J55)</f>
        <v>29212948</v>
      </c>
      <c r="K49" s="50">
        <f>SUM(K50:K55)</f>
        <v>21186054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0</v>
      </c>
      <c r="K50" s="7">
        <v>0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26078233</v>
      </c>
      <c r="K51" s="7">
        <v>19754924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191577</v>
      </c>
      <c r="K52" s="7">
        <v>132882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1630</v>
      </c>
      <c r="K53" s="7">
        <v>2690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2345858</v>
      </c>
      <c r="K54" s="7">
        <v>777154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595650</v>
      </c>
      <c r="K55" s="7">
        <v>518404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0">
        <f>SUM(J57:J63)</f>
        <v>7660457</v>
      </c>
      <c r="K56" s="50">
        <f>SUM(K57:K63)</f>
        <v>7447869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0</v>
      </c>
      <c r="K58" s="7">
        <v>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6655270</v>
      </c>
      <c r="K60" s="7">
        <f>6671601</f>
        <v>6671601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1005187</v>
      </c>
      <c r="K62" s="7">
        <v>776268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0</v>
      </c>
      <c r="K63" s="7">
        <v>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41196151</v>
      </c>
      <c r="K64" s="7">
        <v>44741735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280609</v>
      </c>
      <c r="K65" s="7">
        <v>169686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245951672</v>
      </c>
      <c r="K66" s="50">
        <f>K7+K8+K40+K65</f>
        <v>220524925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0</v>
      </c>
      <c r="K67" s="8">
        <v>0</v>
      </c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51">
        <f>J70+J71+J72+J78+J79+J82+J85</f>
        <v>57269012</v>
      </c>
      <c r="K69" s="51">
        <f>K70+K71+K72+K78+K79+K82+K85</f>
        <v>36421168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231845600</v>
      </c>
      <c r="K70" s="7">
        <v>231845600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14715887</v>
      </c>
      <c r="K71" s="7">
        <v>14715808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0">
        <f>J73+J74-J75+J76+J77</f>
        <v>24302</v>
      </c>
      <c r="K72" s="50">
        <v>24302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13275</v>
      </c>
      <c r="K73" s="7">
        <v>13275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11027</v>
      </c>
      <c r="K77" s="7">
        <v>11027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0</v>
      </c>
      <c r="K78" s="7">
        <v>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0">
        <f>J80-J81</f>
        <v>-49799986</v>
      </c>
      <c r="K79" s="50">
        <f>K80-K81</f>
        <v>-127573440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0</v>
      </c>
      <c r="K80" s="7"/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49799986</v>
      </c>
      <c r="K81" s="7">
        <f>195303051-46457483-21272128</f>
        <v>127573440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0">
        <f>J83-J84</f>
        <v>-87371576</v>
      </c>
      <c r="K82" s="50">
        <f>K83-K84</f>
        <v>-19981477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0</v>
      </c>
      <c r="K83" s="7"/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87371576</v>
      </c>
      <c r="K84" s="7">
        <f>RDG!L50</f>
        <v>19981477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-52145215</v>
      </c>
      <c r="K85" s="7">
        <v>-62609625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688076</v>
      </c>
      <c r="K86" s="50">
        <f>SUM(K87:K89)</f>
        <v>689722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688076</v>
      </c>
      <c r="K89" s="7">
        <v>689722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12041322</v>
      </c>
      <c r="K90" s="50">
        <f>SUM(K91:K99)</f>
        <v>11767228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11943767</v>
      </c>
      <c r="K93" s="7">
        <f>11669673</f>
        <v>11669673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0</v>
      </c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50000</v>
      </c>
      <c r="K97" s="7">
        <v>50000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47555</v>
      </c>
      <c r="K99" s="7">
        <v>47555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174609032</v>
      </c>
      <c r="K100" s="50">
        <f>SUM(K101:K112)</f>
        <v>171279204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0</v>
      </c>
      <c r="K101" s="7">
        <v>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5044300</v>
      </c>
      <c r="K102" s="7">
        <v>5304300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128472626</v>
      </c>
      <c r="K103" s="7">
        <v>129596641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251976</v>
      </c>
      <c r="K104" s="7">
        <v>1404711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38275745</v>
      </c>
      <c r="K105" s="7">
        <v>32667944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949286</v>
      </c>
      <c r="K108" s="7">
        <v>879418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1317450</v>
      </c>
      <c r="K109" s="7">
        <v>999377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232969</v>
      </c>
      <c r="K110" s="7">
        <v>232969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64680</v>
      </c>
      <c r="K112" s="7">
        <v>193844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1344230</v>
      </c>
      <c r="K113" s="7">
        <v>367603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245951672</v>
      </c>
      <c r="K114" s="50">
        <f>K69+K86+K90+K100+K113</f>
        <v>220524925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>
        <v>0</v>
      </c>
      <c r="K115" s="8"/>
    </row>
    <row r="116" spans="1:11" ht="12.75">
      <c r="A116" s="208" t="s">
        <v>308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109414227</v>
      </c>
      <c r="K118" s="7">
        <f>K69-K119</f>
        <v>99030793</v>
      </c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>
        <v>-52145215</v>
      </c>
      <c r="K119" s="8">
        <f>K85</f>
        <v>-62609625</v>
      </c>
    </row>
    <row r="120" spans="1:11" ht="12.75">
      <c r="A120" s="201" t="s">
        <v>309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31">
      <selection activeCell="H38" sqref="H38:I38"/>
    </sheetView>
  </sheetViews>
  <sheetFormatPr defaultColWidth="9.140625" defaultRowHeight="12.75"/>
  <cols>
    <col min="1" max="9" width="9.140625" style="49" customWidth="1"/>
    <col min="10" max="11" width="10.140625" style="49" customWidth="1"/>
    <col min="12" max="12" width="10.421875" style="49" bestFit="1" customWidth="1"/>
    <col min="13" max="13" width="10.28125" style="49" customWidth="1"/>
    <col min="14" max="16384" width="9.140625" style="49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359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59" t="s">
        <v>360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58" t="s">
        <v>59</v>
      </c>
      <c r="B4" s="258"/>
      <c r="C4" s="258"/>
      <c r="D4" s="258"/>
      <c r="E4" s="258"/>
      <c r="F4" s="258"/>
      <c r="G4" s="258"/>
      <c r="H4" s="258"/>
      <c r="I4" s="55" t="s">
        <v>279</v>
      </c>
      <c r="J4" s="257" t="s">
        <v>316</v>
      </c>
      <c r="K4" s="257"/>
      <c r="L4" s="257" t="s">
        <v>317</v>
      </c>
      <c r="M4" s="257"/>
    </row>
    <row r="5" spans="1:13" ht="22.5">
      <c r="A5" s="258"/>
      <c r="B5" s="258"/>
      <c r="C5" s="258"/>
      <c r="D5" s="258"/>
      <c r="E5" s="258"/>
      <c r="F5" s="258"/>
      <c r="G5" s="258"/>
      <c r="H5" s="258"/>
      <c r="I5" s="55"/>
      <c r="J5" s="57" t="s">
        <v>312</v>
      </c>
      <c r="K5" s="57" t="s">
        <v>313</v>
      </c>
      <c r="L5" s="57" t="s">
        <v>312</v>
      </c>
      <c r="M5" s="57" t="s">
        <v>313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51">
        <f>SUM(J8:J9)</f>
        <v>53212791</v>
      </c>
      <c r="K7" s="51">
        <f>SUM(K8:K9)</f>
        <v>28690719</v>
      </c>
      <c r="L7" s="51">
        <f>SUM(L8:L9)</f>
        <v>34990968</v>
      </c>
      <c r="M7" s="51">
        <f>SUM(M8:M9)</f>
        <v>23051387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47541972</v>
      </c>
      <c r="K8" s="7">
        <v>26153883</v>
      </c>
      <c r="L8" s="7">
        <v>33318892</v>
      </c>
      <c r="M8" s="7">
        <f>33318892-10439740</f>
        <v>22879152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5670819</v>
      </c>
      <c r="K9" s="7">
        <v>2536836</v>
      </c>
      <c r="L9" s="7">
        <v>1672076</v>
      </c>
      <c r="M9" s="7">
        <f>1672076-1499841</f>
        <v>172235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201555631</v>
      </c>
      <c r="K10" s="50">
        <f>K11+K12+K16+K20+K21+K22+K25+K26</f>
        <v>26440655</v>
      </c>
      <c r="L10" s="50">
        <f>L11+L12+L16+L20+L21+L22+L25+L26</f>
        <v>35571988</v>
      </c>
      <c r="M10" s="50">
        <f>M11+M12+M16+M20+M21+M22+M25+M26</f>
        <v>19090240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38152718</v>
      </c>
      <c r="K12" s="50">
        <f>SUM(K13:K15)</f>
        <v>15036877</v>
      </c>
      <c r="L12" s="50">
        <f>SUM(L13:L15)</f>
        <v>21650860</v>
      </c>
      <c r="M12" s="50">
        <f>SUM(M13:M15)</f>
        <v>12636085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17690294</v>
      </c>
      <c r="K13" s="7">
        <v>3591685</v>
      </c>
      <c r="L13" s="7">
        <v>5123576</v>
      </c>
      <c r="M13" s="7">
        <f>5123576-2116629</f>
        <v>3006947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4932</v>
      </c>
      <c r="K14" s="7">
        <v>4932</v>
      </c>
      <c r="L14" s="7">
        <v>4469</v>
      </c>
      <c r="M14" s="7">
        <v>4469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20457492</v>
      </c>
      <c r="K15" s="7">
        <v>11440260</v>
      </c>
      <c r="L15" s="7">
        <v>16522815</v>
      </c>
      <c r="M15" s="7">
        <f>16522815-6898146</f>
        <v>9624669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14629167</v>
      </c>
      <c r="K16" s="50">
        <f>SUM(K17:K19)</f>
        <v>6265642</v>
      </c>
      <c r="L16" s="50">
        <f>SUM(L17:L19)</f>
        <v>8278626</v>
      </c>
      <c r="M16" s="50">
        <f>SUM(M17:M19)</f>
        <v>4372543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10965730</v>
      </c>
      <c r="K17" s="7">
        <v>4406929</v>
      </c>
      <c r="L17" s="7">
        <v>5176865</v>
      </c>
      <c r="M17" s="7">
        <f>5176865-2463526</f>
        <v>2713339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2433439</v>
      </c>
      <c r="K18" s="7">
        <v>1222193</v>
      </c>
      <c r="L18" s="7">
        <v>1972186</v>
      </c>
      <c r="M18" s="7">
        <f>1972186-939575</f>
        <v>1032611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1229998</v>
      </c>
      <c r="K19" s="7">
        <v>636520</v>
      </c>
      <c r="L19" s="7">
        <v>1129575</v>
      </c>
      <c r="M19" s="7">
        <f>1129575-502982</f>
        <v>626593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11928519</v>
      </c>
      <c r="K20" s="7">
        <v>4156744</v>
      </c>
      <c r="L20" s="7">
        <v>2784371</v>
      </c>
      <c r="M20" s="7">
        <f>2784371-1742345</f>
        <v>1042026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6071492</v>
      </c>
      <c r="K21" s="7">
        <v>969737</v>
      </c>
      <c r="L21" s="7">
        <v>1633440</v>
      </c>
      <c r="M21" s="7">
        <f>1633440-991810</f>
        <v>641630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v>0</v>
      </c>
      <c r="K22" s="50">
        <v>0</v>
      </c>
      <c r="L22" s="50">
        <f>SUM(L23:L24)</f>
        <v>0</v>
      </c>
      <c r="M22" s="50"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130773735</v>
      </c>
      <c r="K26" s="7">
        <v>11655</v>
      </c>
      <c r="L26" s="7">
        <v>1224691</v>
      </c>
      <c r="M26" s="7">
        <f>1224691-826735</f>
        <v>397956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28517224</v>
      </c>
      <c r="K27" s="50">
        <f>SUM(K28:K32)</f>
        <v>23007633</v>
      </c>
      <c r="L27" s="50">
        <f>SUM(L28:L32)</f>
        <v>1441060</v>
      </c>
      <c r="M27" s="50">
        <f>SUM(M28:M32)</f>
        <v>677556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14773997</v>
      </c>
      <c r="K28" s="7">
        <v>14545157</v>
      </c>
      <c r="L28" s="7"/>
      <c r="M28" s="7"/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12790526</v>
      </c>
      <c r="K29" s="7">
        <v>7509775</v>
      </c>
      <c r="L29" s="7">
        <v>1441060</v>
      </c>
      <c r="M29" s="7">
        <f>1441060-763504</f>
        <v>677556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11366</v>
      </c>
      <c r="K30" s="7">
        <v>11366</v>
      </c>
      <c r="L30" s="7"/>
      <c r="M30" s="7"/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941335</v>
      </c>
      <c r="K32" s="7">
        <v>941335</v>
      </c>
      <c r="L32" s="7"/>
      <c r="M32" s="7"/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19599273</v>
      </c>
      <c r="K33" s="50">
        <f>SUM(K34:K37)</f>
        <v>6406738</v>
      </c>
      <c r="L33" s="50">
        <f>SUM(L34:L37)</f>
        <v>20657087</v>
      </c>
      <c r="M33" s="50">
        <f>SUM(M34:M37)</f>
        <v>19402412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19588337</v>
      </c>
      <c r="K35" s="7">
        <v>6395802</v>
      </c>
      <c r="L35" s="7">
        <v>1304235</v>
      </c>
      <c r="M35" s="7">
        <f>1304235-395604</f>
        <v>908631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10936</v>
      </c>
      <c r="K37" s="7">
        <v>10936</v>
      </c>
      <c r="L37" s="7">
        <v>19352852</v>
      </c>
      <c r="M37" s="7">
        <f>19352852-859071</f>
        <v>18493781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81730015</v>
      </c>
      <c r="K42" s="50">
        <f>K7+K27+K38+K40</f>
        <v>51698352</v>
      </c>
      <c r="L42" s="50">
        <f>L7+L27+L38+L40</f>
        <v>36432028</v>
      </c>
      <c r="M42" s="50">
        <f>M7+M27+M38+M40</f>
        <v>23728943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221154904</v>
      </c>
      <c r="K43" s="50">
        <f>K10+K33+K39+K41</f>
        <v>32847393</v>
      </c>
      <c r="L43" s="50">
        <f>L10+L33+L39+L41</f>
        <v>56229075</v>
      </c>
      <c r="M43" s="50">
        <f>M10+M33+M39+M41</f>
        <v>38492652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-139424889</v>
      </c>
      <c r="K44" s="50">
        <f>K42-K43</f>
        <v>18850959</v>
      </c>
      <c r="L44" s="50">
        <f>L42-L43</f>
        <v>-19797047</v>
      </c>
      <c r="M44" s="50">
        <f>M42-M43</f>
        <v>-14763709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0">
        <f>IF(J42&gt;J43,J42-J43,0)</f>
        <v>0</v>
      </c>
      <c r="K45" s="50">
        <v>18850959</v>
      </c>
      <c r="L45" s="50">
        <v>0</v>
      </c>
      <c r="M45" s="50">
        <v>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0">
        <f>IF(J43&gt;J42,J43-J42,0)</f>
        <v>139424889</v>
      </c>
      <c r="K46" s="50">
        <f>IF(K43&gt;K42,K43-K42,0)</f>
        <v>0</v>
      </c>
      <c r="L46" s="50">
        <f>IF(L43&gt;L42,L43-L42,0)</f>
        <v>19797047</v>
      </c>
      <c r="M46" s="50">
        <f>IF(M43&gt;M42,M43-M42,0)</f>
        <v>14763709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143757</v>
      </c>
      <c r="K47" s="7">
        <v>123117</v>
      </c>
      <c r="L47" s="7">
        <v>184430</v>
      </c>
      <c r="M47" s="7">
        <f>184430-61718</f>
        <v>122712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-139568646</v>
      </c>
      <c r="K48" s="50">
        <f>K44-K47</f>
        <v>18727842</v>
      </c>
      <c r="L48" s="50">
        <f>L44-L47</f>
        <v>-19981477</v>
      </c>
      <c r="M48" s="50">
        <f>M44-M47</f>
        <v>-14886421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0">
        <f>IF(J48&gt;0,J48,0)</f>
        <v>0</v>
      </c>
      <c r="K49" s="50">
        <v>18727842</v>
      </c>
      <c r="L49" s="50">
        <f>IF(L48&gt;0,L48,0)</f>
        <v>0</v>
      </c>
      <c r="M49" s="50">
        <v>0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58">
        <f>IF(J48&lt;0,-J48,0)</f>
        <v>139568646</v>
      </c>
      <c r="K50" s="58">
        <f>IF(K48&lt;0,-K48,0)</f>
        <v>0</v>
      </c>
      <c r="L50" s="58">
        <f>IF(L48&lt;0,-L48,0)</f>
        <v>19981477</v>
      </c>
      <c r="M50" s="58">
        <f>IF(M48&lt;0,-M48,0)</f>
        <v>14886421</v>
      </c>
    </row>
    <row r="51" spans="1:13" ht="12.75" customHeight="1">
      <c r="A51" s="208" t="s">
        <v>310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2"/>
      <c r="J52" s="52"/>
      <c r="K52" s="52"/>
      <c r="L52" s="52"/>
      <c r="M52" s="59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v>-71038879</v>
      </c>
      <c r="K53" s="7">
        <v>10705032</v>
      </c>
      <c r="L53" s="7">
        <f>L48-L54</f>
        <v>-9807029</v>
      </c>
      <c r="M53" s="7">
        <f>L53+4424440</f>
        <v>-5382589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>
        <v>-68529767</v>
      </c>
      <c r="K54" s="7">
        <v>8022810</v>
      </c>
      <c r="L54" s="8">
        <f>-10174448</f>
        <v>-10174448</v>
      </c>
      <c r="M54" s="7">
        <f>-10174448+670616</f>
        <v>-9503832</v>
      </c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f>J48</f>
        <v>-139568646</v>
      </c>
      <c r="K56" s="6">
        <f>K48</f>
        <v>18727842</v>
      </c>
      <c r="L56" s="6">
        <f>L48</f>
        <v>-19981477</v>
      </c>
      <c r="M56" s="6">
        <f>M48</f>
        <v>-14886421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-1628739</v>
      </c>
      <c r="K57" s="50">
        <f>SUM(K58:K64)</f>
        <v>-7916147</v>
      </c>
      <c r="L57" s="50">
        <f>SUM(L58:L64)</f>
        <v>162198</v>
      </c>
      <c r="M57" s="50">
        <f>SUM(M58:M64)</f>
        <v>-221993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-1628739</v>
      </c>
      <c r="K58" s="7">
        <v>-7916147</v>
      </c>
      <c r="L58" s="7">
        <v>162198</v>
      </c>
      <c r="M58" s="7">
        <f>162198-384191</f>
        <v>-221993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325748</v>
      </c>
      <c r="K65" s="7">
        <v>-931734</v>
      </c>
      <c r="L65" s="7">
        <v>32440</v>
      </c>
      <c r="M65" s="7">
        <f>32440-76838</f>
        <v>-44398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f>J58-J65</f>
        <v>-1954487</v>
      </c>
      <c r="K66" s="7">
        <f>K58-K65</f>
        <v>-6984413</v>
      </c>
      <c r="L66" s="50">
        <f>L57-L65</f>
        <v>129758</v>
      </c>
      <c r="M66" s="50">
        <f>M57+M65</f>
        <v>-266391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-141523133</v>
      </c>
      <c r="K67" s="58">
        <f>K56+K66</f>
        <v>11743429</v>
      </c>
      <c r="L67" s="58">
        <f>L56+L66</f>
        <v>-19851719</v>
      </c>
      <c r="M67" s="58">
        <f>M56+M66</f>
        <v>-15152812</v>
      </c>
    </row>
    <row r="68" spans="1:13" ht="12.75" customHeight="1">
      <c r="A68" s="247" t="s">
        <v>311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v>-72993366</v>
      </c>
      <c r="K70" s="7">
        <v>3720619</v>
      </c>
      <c r="L70" s="7">
        <f>L67-L71</f>
        <v>-9677271</v>
      </c>
      <c r="M70" s="7">
        <f>M67-M71</f>
        <v>-5648980</v>
      </c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-68529767</v>
      </c>
      <c r="K71" s="8">
        <v>8022810</v>
      </c>
      <c r="L71" s="8">
        <f>L54</f>
        <v>-10174448</v>
      </c>
      <c r="M71" s="8">
        <f>M54</f>
        <v>-9503832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57:H57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10" zoomScaleSheetLayoutView="110" zoomScalePageLayoutView="0" workbookViewId="0" topLeftCell="A1">
      <selection activeCell="H38" sqref="H38:I38"/>
    </sheetView>
  </sheetViews>
  <sheetFormatPr defaultColWidth="9.140625" defaultRowHeight="12.75"/>
  <cols>
    <col min="1" max="9" width="9.140625" style="49" customWidth="1"/>
    <col min="10" max="11" width="10.421875" style="49" bestFit="1" customWidth="1"/>
    <col min="12" max="16384" width="9.140625" style="49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360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279</v>
      </c>
      <c r="J4" s="64" t="s">
        <v>316</v>
      </c>
      <c r="K4" s="64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5">
        <v>2</v>
      </c>
      <c r="J5" s="66" t="s">
        <v>282</v>
      </c>
      <c r="K5" s="66" t="s">
        <v>283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-139424889</v>
      </c>
      <c r="K7" s="7">
        <f>RDG!L44</f>
        <v>-19797047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11928519</v>
      </c>
      <c r="K8" s="7">
        <f>RDG!L20</f>
        <v>2784371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136568688</v>
      </c>
      <c r="K9" s="7">
        <v>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8026894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1290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15779606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0">
        <f>J7+J8+J9+J10+J11+J12</f>
        <v>9072318</v>
      </c>
      <c r="K13" s="50">
        <f>K7+K8+K9+K10+K11+K12</f>
        <v>6795114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3329828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1487985</v>
      </c>
      <c r="K15" s="7">
        <v>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147345</v>
      </c>
      <c r="K16" s="7">
        <v>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25316825</v>
      </c>
      <c r="K17" s="7">
        <v>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0">
        <f>SUM(J14:J17)</f>
        <v>26952155</v>
      </c>
      <c r="K18" s="50">
        <f>SUM(K14:K17)</f>
        <v>3329828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0">
        <f>IF(J13&gt;J18,J13-J18,0)</f>
        <v>0</v>
      </c>
      <c r="K19" s="50">
        <f>IF(K13&gt;K18,K13-K18,0)</f>
        <v>3465286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0">
        <f>IF(J18&gt;J13,J18-J13,0)</f>
        <v>17879837</v>
      </c>
      <c r="K20" s="50">
        <f>IF(K18&gt;K13,K18-K13,0)</f>
        <v>0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0"/>
      <c r="J21" s="260"/>
      <c r="K21" s="261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39088456</v>
      </c>
      <c r="K22" s="7">
        <f>3068968-1442604</f>
        <v>1626364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0</v>
      </c>
      <c r="K23" s="7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0</v>
      </c>
      <c r="K24" s="7">
        <v>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0</v>
      </c>
      <c r="K25" s="7">
        <v>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0</v>
      </c>
      <c r="K26" s="7">
        <v>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0">
        <f>SUM(J22:J26)</f>
        <v>39088456</v>
      </c>
      <c r="K27" s="50">
        <f>SUM(K22:K26)</f>
        <v>1626364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0</v>
      </c>
      <c r="K28" s="7">
        <v>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0</v>
      </c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0</v>
      </c>
      <c r="K30" s="7">
        <v>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0">
        <f>SUM(J28:J30)</f>
        <v>0</v>
      </c>
      <c r="K31" s="50">
        <f>SUM(K28:K30)</f>
        <v>0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0">
        <f>IF(J27&gt;J31,J27-J31,0)</f>
        <v>39088456</v>
      </c>
      <c r="K32" s="50">
        <f>IF(K27&gt;K31,K27-K31,0)</f>
        <v>1626364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0">
        <f>IF(J31&gt;J27,J31-J27,0)</f>
        <v>0</v>
      </c>
      <c r="K33" s="50">
        <f>IF(K31&gt;K27,K31-K27,0)</f>
        <v>0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0"/>
      <c r="J34" s="260"/>
      <c r="K34" s="261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0</v>
      </c>
      <c r="K36" s="7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50">
        <f>SUM(J35:J37)</f>
        <v>0</v>
      </c>
      <c r="K38" s="50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26826282</v>
      </c>
      <c r="K39" s="7">
        <f>1317147+228919</f>
        <v>1546066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0</v>
      </c>
      <c r="K41" s="7">
        <v>0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0</v>
      </c>
      <c r="K43" s="7"/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0">
        <f>SUM(J39:J43)</f>
        <v>26826282</v>
      </c>
      <c r="K44" s="50">
        <f>SUM(K39:K43)</f>
        <v>1546066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0">
        <f>IF(J38&gt;J44,J38-J44,0)</f>
        <v>0</v>
      </c>
      <c r="K45" s="50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0">
        <f>IF(J44&gt;J38,J44-J38,0)</f>
        <v>26826282</v>
      </c>
      <c r="K46" s="50">
        <f>IF(K44&gt;K38,K44-K38,0)</f>
        <v>1546066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3545584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50">
        <f>IF(J20-J19+J33-J32+J46-J45&gt;0,J20-J19+J33-J32+J46-J45,0)</f>
        <v>5617663</v>
      </c>
      <c r="K48" s="50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42775982</v>
      </c>
      <c r="K49" s="7">
        <f>Bilanca!J64</f>
        <v>41196151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3545584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5617663</v>
      </c>
      <c r="K51" s="7"/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58">
        <f>J49+J50-J51</f>
        <v>37158319</v>
      </c>
      <c r="K52" s="58">
        <f>K49+K50-K51</f>
        <v>44741735</v>
      </c>
    </row>
  </sheetData>
  <sheetProtection/>
  <mergeCells count="52">
    <mergeCell ref="A5:H5"/>
    <mergeCell ref="A6:K6"/>
    <mergeCell ref="A7:H7"/>
    <mergeCell ref="A8:H8"/>
    <mergeCell ref="A3:K3"/>
    <mergeCell ref="A1:K1"/>
    <mergeCell ref="A2:K2"/>
    <mergeCell ref="A4:H4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3" t="s">
        <v>279</v>
      </c>
      <c r="J4" s="64" t="s">
        <v>316</v>
      </c>
      <c r="K4" s="64" t="s">
        <v>317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282</v>
      </c>
      <c r="K5" s="70" t="s">
        <v>283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0"/>
      <c r="J6" s="260"/>
      <c r="K6" s="261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9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5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0"/>
      <c r="J22" s="260"/>
      <c r="K22" s="261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318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319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0">
        <v>0</v>
      </c>
      <c r="J35" s="260"/>
      <c r="K35" s="261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:H5"/>
    <mergeCell ref="A6:K6"/>
    <mergeCell ref="A7:H7"/>
    <mergeCell ref="A8:H8"/>
    <mergeCell ref="A3:K3"/>
    <mergeCell ref="A1:K1"/>
    <mergeCell ref="A2:K2"/>
    <mergeCell ref="A4:H4"/>
    <mergeCell ref="A21:H21"/>
    <mergeCell ref="A22:K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45:H45"/>
    <mergeCell ref="A46:H46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H38" sqref="H38:I3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10.140625" style="73" bestFit="1" customWidth="1"/>
    <col min="12" max="16384" width="9.140625" style="73" customWidth="1"/>
  </cols>
  <sheetData>
    <row r="1" spans="1:12" ht="12.75">
      <c r="A1" s="291" t="s">
        <v>280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2"/>
    </row>
    <row r="2" spans="1:12" ht="15.75">
      <c r="A2" s="39"/>
      <c r="B2" s="71"/>
      <c r="C2" s="278" t="s">
        <v>281</v>
      </c>
      <c r="D2" s="278"/>
      <c r="E2" s="74" t="s">
        <v>356</v>
      </c>
      <c r="F2" s="40" t="s">
        <v>250</v>
      </c>
      <c r="G2" s="279" t="s">
        <v>357</v>
      </c>
      <c r="H2" s="280"/>
      <c r="I2" s="71"/>
      <c r="J2" s="71"/>
      <c r="K2" s="71"/>
      <c r="L2" s="75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78" t="s">
        <v>304</v>
      </c>
      <c r="J3" s="79" t="s">
        <v>150</v>
      </c>
      <c r="K3" s="79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1">
        <v>2</v>
      </c>
      <c r="J4" s="80" t="s">
        <v>282</v>
      </c>
      <c r="K4" s="80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1">
        <v>1</v>
      </c>
      <c r="J5" s="42">
        <v>231845600</v>
      </c>
      <c r="K5" s="42">
        <f>Bilanca!K70</f>
        <v>231845600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1">
        <v>2</v>
      </c>
      <c r="J6" s="43">
        <v>14715887</v>
      </c>
      <c r="K6" s="43">
        <f>Bilanca!K71</f>
        <v>14715808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1">
        <v>3</v>
      </c>
      <c r="J7" s="43">
        <v>24302</v>
      </c>
      <c r="K7" s="43">
        <f>Bilanca!K72</f>
        <v>24302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1">
        <v>4</v>
      </c>
      <c r="J8" s="43">
        <v>-101945201</v>
      </c>
      <c r="K8" s="43">
        <f>Bilanca!K79+Bilanca!K85</f>
        <v>-190183065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1">
        <v>5</v>
      </c>
      <c r="J9" s="43">
        <v>-87371576</v>
      </c>
      <c r="K9" s="43">
        <f>Bilanca!K82</f>
        <v>-19981477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1">
        <v>6</v>
      </c>
      <c r="J10" s="43">
        <v>0</v>
      </c>
      <c r="K10" s="43">
        <v>0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1">
        <v>7</v>
      </c>
      <c r="J11" s="43">
        <v>0</v>
      </c>
      <c r="K11" s="43">
        <v>0</v>
      </c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1">
        <v>8</v>
      </c>
      <c r="J12" s="43">
        <v>0</v>
      </c>
      <c r="K12" s="43">
        <v>0</v>
      </c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1">
        <v>9</v>
      </c>
      <c r="J13" s="43">
        <v>0</v>
      </c>
      <c r="K13" s="43">
        <v>0</v>
      </c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1">
        <v>10</v>
      </c>
      <c r="J14" s="76">
        <f>SUM(J5:J13)</f>
        <v>57269012</v>
      </c>
      <c r="K14" s="76">
        <f>SUM(K5:K13)</f>
        <v>36421168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1">
        <v>11</v>
      </c>
      <c r="J15" s="43">
        <v>0</v>
      </c>
      <c r="K15" s="43">
        <v>0</v>
      </c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1">
        <v>12</v>
      </c>
      <c r="J16" s="43">
        <v>0</v>
      </c>
      <c r="K16" s="43">
        <v>0</v>
      </c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1">
        <v>13</v>
      </c>
      <c r="J17" s="43">
        <v>0</v>
      </c>
      <c r="K17" s="43">
        <v>0</v>
      </c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1">
        <v>14</v>
      </c>
      <c r="J18" s="43">
        <v>0</v>
      </c>
      <c r="K18" s="43">
        <v>0</v>
      </c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1">
        <v>15</v>
      </c>
      <c r="J19" s="43">
        <v>0</v>
      </c>
      <c r="K19" s="43">
        <v>0</v>
      </c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1">
        <v>16</v>
      </c>
      <c r="J20" s="43">
        <v>-216250646</v>
      </c>
      <c r="K20" s="43">
        <f>K14-J14</f>
        <v>-20847844</v>
      </c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1">
        <v>17</v>
      </c>
      <c r="J21" s="77">
        <f>SUM(J15:J20)</f>
        <v>-216250646</v>
      </c>
      <c r="K21" s="77">
        <f>SUM(K15:K20)</f>
        <v>-20847844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5" t="s">
        <v>301</v>
      </c>
      <c r="B23" s="286"/>
      <c r="C23" s="286"/>
      <c r="D23" s="286"/>
      <c r="E23" s="286"/>
      <c r="F23" s="286"/>
      <c r="G23" s="286"/>
      <c r="H23" s="286"/>
      <c r="I23" s="44">
        <v>18</v>
      </c>
      <c r="J23" s="42">
        <v>-107249483</v>
      </c>
      <c r="K23" s="42">
        <f>K21-K24</f>
        <v>-10239376</v>
      </c>
    </row>
    <row r="24" spans="1:11" ht="17.25" customHeight="1">
      <c r="A24" s="287" t="s">
        <v>302</v>
      </c>
      <c r="B24" s="288"/>
      <c r="C24" s="288"/>
      <c r="D24" s="288"/>
      <c r="E24" s="288"/>
      <c r="F24" s="288"/>
      <c r="G24" s="288"/>
      <c r="H24" s="288"/>
      <c r="I24" s="45">
        <v>19</v>
      </c>
      <c r="J24" s="77">
        <v>-109001163</v>
      </c>
      <c r="K24" s="77">
        <v>-10608468</v>
      </c>
    </row>
    <row r="25" spans="1:11" ht="30" customHeight="1">
      <c r="A25" s="289" t="s">
        <v>303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tabSelected="1" view="pageBreakPreview" zoomScale="110" zoomScaleSheetLayoutView="110" zoomScalePageLayoutView="0" workbookViewId="0" topLeftCell="A1">
      <selection activeCell="H38" sqref="H38:I38"/>
    </sheetView>
  </sheetViews>
  <sheetFormatPr defaultColWidth="9.140625" defaultRowHeight="12.75"/>
  <cols>
    <col min="1" max="1" width="136.57421875" style="0" customWidth="1"/>
    <col min="2" max="2" width="11.140625" style="0" customWidth="1"/>
  </cols>
  <sheetData>
    <row r="1" ht="12.75">
      <c r="A1" s="124"/>
    </row>
    <row r="2" ht="18">
      <c r="A2" s="126" t="s">
        <v>361</v>
      </c>
    </row>
    <row r="3" ht="12.75">
      <c r="A3" s="124"/>
    </row>
    <row r="5" ht="12.75">
      <c r="A5" s="125"/>
    </row>
    <row r="6" ht="12.75">
      <c r="A6" s="125"/>
    </row>
    <row r="7" ht="15">
      <c r="A7" s="129" t="s">
        <v>335</v>
      </c>
    </row>
    <row r="8" ht="15">
      <c r="A8" s="129"/>
    </row>
    <row r="9" ht="15" hidden="1">
      <c r="A9" s="129" t="s">
        <v>336</v>
      </c>
    </row>
    <row r="10" ht="15" hidden="1">
      <c r="A10" s="129"/>
    </row>
    <row r="11" ht="15">
      <c r="A11" s="129" t="s">
        <v>337</v>
      </c>
    </row>
    <row r="12" ht="15">
      <c r="A12" s="129"/>
    </row>
    <row r="13" ht="15">
      <c r="A13" s="129" t="s">
        <v>338</v>
      </c>
    </row>
    <row r="14" ht="15">
      <c r="A14" s="129"/>
    </row>
    <row r="15" ht="15">
      <c r="A15" s="129" t="s">
        <v>339</v>
      </c>
    </row>
    <row r="16" ht="15">
      <c r="A16" s="129"/>
    </row>
    <row r="17" ht="15">
      <c r="A17" s="129" t="s">
        <v>340</v>
      </c>
    </row>
    <row r="18" ht="15">
      <c r="A18" s="129" t="s">
        <v>362</v>
      </c>
    </row>
    <row r="19" ht="15">
      <c r="A19" s="129"/>
    </row>
    <row r="20" ht="15">
      <c r="A20" s="129" t="s">
        <v>363</v>
      </c>
    </row>
    <row r="21" s="128" customFormat="1" ht="15">
      <c r="A21" s="129" t="s">
        <v>364</v>
      </c>
    </row>
    <row r="22" s="128" customFormat="1" ht="15">
      <c r="A22" s="129" t="s">
        <v>365</v>
      </c>
    </row>
    <row r="23" ht="15">
      <c r="A23" s="129" t="s">
        <v>366</v>
      </c>
    </row>
    <row r="24" ht="15">
      <c r="A24" s="129"/>
    </row>
    <row r="25" ht="15">
      <c r="A25" s="129" t="s">
        <v>341</v>
      </c>
    </row>
    <row r="26" ht="15">
      <c r="A26" s="129"/>
    </row>
    <row r="27" ht="15">
      <c r="A27" s="129" t="s">
        <v>342</v>
      </c>
    </row>
    <row r="28" ht="15">
      <c r="A28" s="129"/>
    </row>
    <row r="29" ht="15">
      <c r="A29" s="129"/>
    </row>
    <row r="30" ht="15">
      <c r="A30" s="129" t="s">
        <v>343</v>
      </c>
    </row>
    <row r="31" ht="15">
      <c r="A31" s="129"/>
    </row>
    <row r="32" ht="15">
      <c r="A32" s="129" t="s">
        <v>344</v>
      </c>
    </row>
    <row r="33" ht="15">
      <c r="A33" s="129"/>
    </row>
    <row r="34" ht="15">
      <c r="A34" s="129" t="s">
        <v>345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Lošinjplov</cp:lastModifiedBy>
  <cp:lastPrinted>2014-07-31T13:51:28Z</cp:lastPrinted>
  <dcterms:created xsi:type="dcterms:W3CDTF">2008-10-17T11:51:54Z</dcterms:created>
  <dcterms:modified xsi:type="dcterms:W3CDTF">2014-07-31T13:53:52Z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