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<sst xmlns="http://schemas.openxmlformats.org/spreadsheetml/2006/main" count="427" uniqueCount="368">
  <si>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</si>
  <si>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</si>
  <si>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</si>
  <si>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</si>
  <si>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</si>
  <si>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</si>
  <si>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</si>
  <si>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</si>
  <si>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</si>
  <si>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</si>
  <si>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</si>
  <si>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</si>
  <si>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</si>
  <si>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</si>
  <si>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</si>
  <si>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</si>
  <si>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</si>
  <si>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</si>
  <si>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</si>
  <si>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</si>
  <si>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</si>
  <si>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</si>
  <si>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</si>
  <si>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</si>
  <si>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</si>
  <si>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</si>
  <si>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</si>
  <si>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</si>
  <si>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</si>
  <si>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</si>
  <si>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</si>
  <si>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</si>
  <si>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</si>
  <si>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</si>
  <si>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</si>
  <si>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</si>
  <si>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</si>
  <si>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</si>
  <si>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</si>
  <si>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</si>
  <si>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</si>
  <si>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</si>
  <si>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</si>
  <si>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</si>
  <si>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</si>
  <si>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</si>
  <si>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</si>
  <si>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</si>
  <si>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</si>
  <si>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</si>
  <si>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</si>
  <si>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</si>
  <si>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</si>
  <si>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</si>
  <si>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</si>
  <si>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</si>
  <si>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</si>
  <si>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</si>
  <si>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</si>
  <si>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</si>
  <si>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</si>
  <si>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</si>
  <si>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</si>
  <si>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</si>
  <si>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</si>
  <si>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</si>
  <si>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</si>
  <si>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</si>
  <si>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</si>
  <si>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</si>
  <si>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</si>
  <si>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</si>
  <si>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</si>
  <si>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</si>
  <si>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</si>
  <si>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</si>
  <si>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</si>
  <si>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</si>
  <si>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</si>
  <si>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</si>
  <si>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</si>
  <si>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</si>
  <si>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</si>
  <si>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</si>
  <si>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</si>
  <si>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</si>
  <si>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</si>
  <si>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</si>
  <si>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</si>
  <si>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</si>
  <si>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</si>
  <si>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</si>
  <si>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</si>
  <si>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</si>
  <si>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</si>
  <si>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</si>
  <si>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</si>
  <si>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</si>
  <si>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</si>
  <si>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</si>
  <si>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</si>
  <si>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</si>
  <si>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</si>
  <si>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</si>
  <si>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</si>
  <si>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</si>
  <si>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</si>
  <si>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</si>
  <si>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</si>
  <si>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</si>
  <si>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</si>
  <si>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</si>
  <si>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</si>
  <si>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</si>
  <si>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</si>
  <si>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</si>
  <si>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</si>
  <si>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</si>
  <si>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</si>
  <si>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</si>
  <si>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</si>
  <si>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</si>
  <si>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</si>
  <si>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</si>
  <si>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</si>
  <si>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</si>
  <si>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</si>
  <si>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</si>
  <si>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</si>
  <si>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</si>
  <si>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</si>
  <si>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</si>
  <si>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</si>
  <si>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</si>
  <si>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</si>
  <si>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</si>
  <si>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</si>
  <si>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</si>
  <si>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</si>
  <si>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</si>
  <si>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</si>
  <si>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</si>
  <si>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</si>
  <si>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</si>
  <si>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</si>
  <si>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</si>
  <si>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</si>
  <si>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</si>
  <si>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</si>
  <si>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</si>
  <si>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</si>
  <si>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</si>
  <si>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</si>
  <si>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</si>
  <si>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</si>
  <si>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</si>
  <si>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</si>
  <si>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</si>
  <si>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</si>
  <si>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</si>
  <si>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</si>
  <si>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</si>
  <si>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</si>
  <si>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</si>
  <si>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</si>
  <si>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</si>
  <si>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</si>
  <si>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</si>
  <si>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</si>
  <si>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</si>
  <si>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</si>
  <si>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</si>
  <si>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</si>
  <si>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</si>
  <si>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</si>
  <si>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</si>
  <si>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</si>
  <si>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</si>
  <si>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</si>
  <si>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</si>
  <si>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</si>
  <si>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</si>
  <si>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</si>
  <si>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</si>
  <si>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</si>
  <si>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</si>
  <si>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</si>
  <si>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</si>
  <si>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</si>
  <si>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</si>
  <si>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</si>
  <si>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</si>
  <si>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</si>
  <si>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</si>
  <si>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</si>
  <si>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</si>
  <si>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</si>
  <si>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</si>
  <si>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</si>
  <si>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</si>
  <si>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</si>
  <si>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</si>
  <si>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</si>
  <si>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</si>
  <si>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</si>
  <si>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</si>
  <si>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</si>
  <si>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</si>
  <si>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</si>
  <si>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</si>
  <si>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</si>
  <si>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</si>
  <si>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</si>
  <si>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</si>
  <si>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</si>
  <si>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</si>
  <si>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</si>
  <si>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</si>
  <si>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</si>
  <si>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</si>
  <si>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</si>
  <si>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</si>
  <si>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</si>
  <si>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</si>
  <si>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</si>
  <si>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</si>
  <si>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</si>
  <si>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</si>
  <si>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</si>
  <si>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</si>
  <si>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</si>
  <si>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</si>
  <si>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</si>
  <si>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</si>
  <si>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</si>
  <si>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</si>
  <si>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</si>
  <si>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</si>
  <si>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</si>
  <si>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</si>
  <si>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</si>
  <si>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</si>
  <si>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</si>
  <si>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</si>
  <si>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</si>
  <si>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</si>
  <si>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</si>
  <si>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</si>
  <si>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</si>
  <si>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</si>
  <si>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</si>
  <si>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</si>
  <si>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</si>
  <si>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</si>
  <si>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</si>
  <si>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</si>
  <si>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</si>
  <si>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</si>
  <si>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</si>
  <si>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</si>
  <si>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</si>
  <si>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</si>
  <si>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</si>
  <si>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</si>
  <si>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</si>
  <si>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</si>
  <si>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</si>
  <si>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</si>
  <si>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</si>
  <si>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</si>
  <si>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</si>
  <si>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</si>
  <si>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</si>
  <si>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</si>
  <si>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</si>
  <si>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</si>
  <si>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</si>
  <si>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</si>
  <si>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</si>
  <si>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</si>
  <si>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</si>
  <si>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</si>
  <si>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</si>
  <si>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</si>
  <si>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</si>
  <si>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</si>
  <si>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</si>
  <si>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</si>
  <si>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</si>
  <si>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</si>
  <si>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</si>
  <si>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</si>
  <si>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</si>
  <si>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</si>
  <si>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</si>
  <si>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</si>
  <si>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</si>
  <si>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</si>
  <si>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</si>
  <si>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</si>
  <si>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</si>
  <si>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</si>
  <si>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</si>
  <si>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</si>
  <si>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</si>
  <si>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</si>
  <si>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</si>
  <si>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</si>
  <si>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</si>
  <si>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</si>
  <si>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</si>
  <si>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</si>
  <si>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</si>
  <si>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</si>
  <si>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</si>
  <si>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</si>
  <si>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</si>
  <si>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</si>
  <si>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</si>
  <si>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</si>
  <si>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</si>
  <si>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</si>
  <si>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</si>
  <si>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</si>
  <si>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LOŠINJSKA PLOVIDBA HOLDING DD KONSOLIDIRANI</t>
  </si>
  <si>
    <t>MALI LOŠINJ</t>
  </si>
  <si>
    <t>PRIVLAKA 19</t>
  </si>
  <si>
    <t>losinjplov@losinjplov.com.hr</t>
  </si>
  <si>
    <t>www.losinjplov.com.hr</t>
  </si>
  <si>
    <t>PRIMORSKO-GORANSKA</t>
  </si>
  <si>
    <t>DA</t>
  </si>
  <si>
    <t>5020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</si>
  <si>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</si>
  <si>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</si>
  <si>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</si>
  <si>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</si>
  <si>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</si>
  <si>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</si>
  <si>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</si>
  <si>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</si>
  <si>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</si>
  <si>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</si>
  <si>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</si>
  <si>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</si>
  <si>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 xml:space="preserve">U usporedbi s istim razdobljem prethodne godine društvo je ostvarilo gubitak. Recesija se još jako osjeća na međunarodnom tržištu. </t>
  </si>
  <si>
    <t>U odnosu na plan, prihodi su umanjeni.</t>
  </si>
  <si>
    <t>Djelatnost je pomorski prijevoz robe i putnika, popravak brodova, turizam i ugostiteljstvo.</t>
  </si>
  <si>
    <t>Operativni i ostali troškovi u usporedbi s istim razdobljem prethodne godine, povećani su.</t>
  </si>
  <si>
    <t>Gubitak je ostvaren zbog gore navedenih razloga.</t>
  </si>
  <si>
    <t>Likvidnost društva je slaba.</t>
  </si>
  <si>
    <t>Nije bilo promjena računovodstvenih politika u promatranom razdoblju.</t>
  </si>
  <si>
    <t>Negativno rješavanje sudskih sporova može otežati poslovanje.</t>
  </si>
  <si>
    <t>01.01.2013.</t>
  </si>
  <si>
    <t>MIODRAG KLIČKOVIĆ</t>
  </si>
  <si>
    <t>051750267</t>
  </si>
  <si>
    <t>051231811</t>
  </si>
  <si>
    <t>miodrag.klickovic@losinia.hr</t>
  </si>
  <si>
    <t>ĐANINO SUČIĆ</t>
  </si>
  <si>
    <t>1282166</t>
  </si>
  <si>
    <t>MORUS ALBA d.o.o.</t>
  </si>
  <si>
    <t>Vozarine su u padu, a time i prihodi tako da teško pokrivaju troškove. U promatranom razdoblju prodana su još dva broda. Od prodaje brodova ostvaren je rashod od USD 21.738.396.</t>
  </si>
  <si>
    <t>30.06.2013.</t>
  </si>
  <si>
    <t>stanje na dan 30.06.2013.</t>
  </si>
  <si>
    <t>u razdoblju 01.01.2013. do 30.06.2013.</t>
  </si>
  <si>
    <t>Bilješke uz nerevid.financ. izvještaje Lošinjska plovidba Holding konsolidirani TFI-POD-30.06.2013.</t>
  </si>
  <si>
    <t>Imateljima kapitala matice pripisan je gubitak od 71.038.879 kuna.</t>
  </si>
  <si>
    <t>Konsolidirano Brodarstvo je ostvarilo gubitak od 68.522.356 KN, Brodogradilište gubitak od 3.058.349 KN,konsolidirani Holding gubitak od 131.171 KN i</t>
  </si>
  <si>
    <t>Turizam dobit od 410.655 KN. Gubitak pripisan manjinskom interesu u iznosu od 68.529.767 KN odnosi se na Brodarstvo.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</si>
</sst>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33" fillId="21" borderId="2" applyNumberFormat="0" applyAlignment="0" applyProtection="0"/>
    <xf numFmtId="0" fontId="23" fillId="21" borderId="3" applyNumberFormat="0" applyAlignment="0" applyProtection="0"/>
    <xf numFmtId="0" fontId="2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4" fillId="23" borderId="8" applyNumberFormat="0" applyAlignment="0" applyProtection="0"/>
    <xf numFmtId="0" fontId="9" fillId="0" borderId="0">
      <alignment vertical="top"/>
      <protection/>
    </xf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7" borderId="3" applyNumberFormat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/>
      <protection hidden="1"/>
    </xf>
    <xf numFmtId="0" fontId="2" fillId="0" borderId="0" xfId="56" applyFont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17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Border="1" applyAlignment="1" applyProtection="1">
      <alignment/>
      <protection hidden="1"/>
    </xf>
    <xf numFmtId="0" fontId="3" fillId="0" borderId="18" xfId="56" applyFont="1" applyBorder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6" applyFont="1" applyBorder="1" applyAlignment="1">
      <alignment/>
      <protection/>
    </xf>
    <xf numFmtId="0" fontId="3" fillId="0" borderId="24" xfId="56" applyFont="1" applyBorder="1" applyAlignment="1">
      <alignment/>
      <protection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3" fillId="0" borderId="16" xfId="56" applyFont="1" applyFill="1" applyBorder="1" applyAlignment="1" applyProtection="1">
      <alignment vertical="center"/>
      <protection hidden="1"/>
    </xf>
    <xf numFmtId="0" fontId="3" fillId="0" borderId="25" xfId="56" applyFont="1" applyBorder="1" applyAlignment="1" applyProtection="1">
      <alignment horizontal="left" vertical="center" wrapText="1"/>
      <protection hidden="1"/>
    </xf>
    <xf numFmtId="0" fontId="3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3" fillId="0" borderId="25" xfId="56" applyFont="1" applyFill="1" applyBorder="1" applyAlignment="1" applyProtection="1">
      <alignment/>
      <protection hidden="1"/>
    </xf>
    <xf numFmtId="0" fontId="3" fillId="0" borderId="25" xfId="56" applyFont="1" applyBorder="1" applyAlignment="1" applyProtection="1">
      <alignment wrapText="1"/>
      <protection hidden="1"/>
    </xf>
    <xf numFmtId="0" fontId="3" fillId="0" borderId="16" xfId="56" applyFont="1" applyBorder="1" applyAlignment="1" applyProtection="1">
      <alignment horizontal="right"/>
      <protection hidden="1"/>
    </xf>
    <xf numFmtId="0" fontId="3" fillId="0" borderId="25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0" fontId="2" fillId="0" borderId="25" xfId="56" applyFont="1" applyFill="1" applyBorder="1" applyAlignment="1" applyProtection="1">
      <alignment horizontal="right" vertical="center"/>
      <protection hidden="1" locked="0"/>
    </xf>
    <xf numFmtId="0" fontId="3" fillId="0" borderId="25" xfId="56" applyFont="1" applyBorder="1" applyAlignment="1" applyProtection="1">
      <alignment vertical="top"/>
      <protection hidden="1"/>
    </xf>
    <xf numFmtId="0" fontId="3" fillId="0" borderId="25" xfId="56" applyFont="1" applyBorder="1" applyAlignment="1" applyProtection="1">
      <alignment horizontal="left" vertical="top" wrapText="1"/>
      <protection hidden="1"/>
    </xf>
    <xf numFmtId="0" fontId="3" fillId="0" borderId="16" xfId="56" applyFont="1" applyBorder="1" applyAlignment="1">
      <alignment/>
      <protection/>
    </xf>
    <xf numFmtId="0" fontId="3" fillId="0" borderId="25" xfId="56" applyFont="1" applyBorder="1" applyAlignment="1" applyProtection="1">
      <alignment horizontal="left" vertical="top" indent="2"/>
      <protection hidden="1"/>
    </xf>
    <xf numFmtId="0" fontId="3" fillId="0" borderId="25" xfId="56" applyFont="1" applyBorder="1" applyAlignment="1" applyProtection="1">
      <alignment horizontal="left" vertical="top" wrapText="1" indent="2"/>
      <protection hidden="1"/>
    </xf>
    <xf numFmtId="0" fontId="3" fillId="0" borderId="16" xfId="56" applyFont="1" applyBorder="1" applyAlignment="1" applyProtection="1">
      <alignment horizontal="right" vertical="top"/>
      <protection hidden="1"/>
    </xf>
    <xf numFmtId="49" fontId="2" fillId="0" borderId="25" xfId="56" applyNumberFormat="1" applyFont="1" applyBorder="1" applyAlignment="1" applyProtection="1">
      <alignment horizontal="center" vertical="center"/>
      <protection hidden="1" locked="0"/>
    </xf>
    <xf numFmtId="0" fontId="3" fillId="0" borderId="16" xfId="56" applyFont="1" applyBorder="1" applyAlignment="1" applyProtection="1">
      <alignment horizontal="left" vertical="top"/>
      <protection hidden="1"/>
    </xf>
    <xf numFmtId="0" fontId="3" fillId="0" borderId="25" xfId="56" applyFont="1" applyBorder="1" applyAlignment="1" applyProtection="1">
      <alignment horizontal="left"/>
      <protection hidden="1"/>
    </xf>
    <xf numFmtId="0" fontId="3" fillId="0" borderId="24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left"/>
      <protection hidden="1"/>
    </xf>
    <xf numFmtId="0" fontId="3" fillId="0" borderId="25" xfId="56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2" fillId="0" borderId="16" xfId="56" applyFont="1" applyBorder="1" applyAlignment="1" applyProtection="1">
      <alignment vertical="center"/>
      <protection hidden="1"/>
    </xf>
    <xf numFmtId="0" fontId="3" fillId="0" borderId="26" xfId="56" applyFont="1" applyBorder="1" applyAlignment="1" applyProtection="1">
      <alignment/>
      <protection hidden="1"/>
    </xf>
    <xf numFmtId="0" fontId="3" fillId="0" borderId="27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/>
      <protection hidden="1"/>
    </xf>
    <xf numFmtId="0" fontId="3" fillId="0" borderId="29" xfId="56" applyFont="1" applyFill="1" applyBorder="1" applyAlignment="1" applyProtection="1">
      <alignment/>
      <protection hidden="1"/>
    </xf>
    <xf numFmtId="14" fontId="2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6" applyFont="1" applyFill="1" applyBorder="1" applyAlignment="1" applyProtection="1">
      <alignment horizontal="center" vertical="center"/>
      <protection hidden="1" locked="0"/>
    </xf>
    <xf numFmtId="0" fontId="2" fillId="0" borderId="16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Fill="1" applyBorder="1" applyAlignment="1">
      <alignment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0">
      <alignment vertical="top"/>
      <protection/>
    </xf>
    <xf numFmtId="0" fontId="9" fillId="0" borderId="0" xfId="60" applyFont="1" applyAlignment="1">
      <alignment/>
      <protection/>
    </xf>
    <xf numFmtId="0" fontId="18" fillId="0" borderId="0" xfId="60" applyFont="1" applyAlignment="1">
      <alignment/>
      <protection/>
    </xf>
    <xf numFmtId="0" fontId="19" fillId="0" borderId="0" xfId="0" applyFont="1" applyAlignment="1">
      <alignment/>
    </xf>
    <xf numFmtId="3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0" applyFont="1" applyFill="1" applyAlignment="1">
      <alignment/>
      <protection/>
    </xf>
    <xf numFmtId="0" fontId="0" fillId="0" borderId="0" xfId="0" applyFont="1" applyAlignment="1">
      <alignment/>
    </xf>
    <xf numFmtId="0" fontId="3" fillId="0" borderId="28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16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left"/>
      <protection/>
    </xf>
    <xf numFmtId="0" fontId="2" fillId="0" borderId="27" xfId="56" applyFont="1" applyFill="1" applyBorder="1" applyAlignment="1" applyProtection="1">
      <alignment horizontal="center" vertical="center"/>
      <protection hidden="1" locked="0"/>
    </xf>
    <xf numFmtId="0" fontId="2" fillId="0" borderId="28" xfId="56" applyFont="1" applyFill="1" applyBorder="1" applyAlignment="1" applyProtection="1">
      <alignment horizontal="left" vertical="center"/>
      <protection hidden="1" locked="0"/>
    </xf>
    <xf numFmtId="0" fontId="2" fillId="0" borderId="29" xfId="56" applyFont="1" applyFill="1" applyBorder="1" applyAlignment="1" applyProtection="1">
      <alignment horizontal="left" vertical="center"/>
      <protection hidden="1" locked="0"/>
    </xf>
    <xf numFmtId="0" fontId="2" fillId="0" borderId="27" xfId="56" applyFont="1" applyFill="1" applyBorder="1" applyAlignment="1" applyProtection="1">
      <alignment horizontal="right" vertical="center"/>
      <protection hidden="1" locked="0"/>
    </xf>
    <xf numFmtId="0" fontId="3" fillId="0" borderId="28" xfId="56" applyFont="1" applyFill="1" applyBorder="1" applyAlignment="1">
      <alignment horizontal="left"/>
      <protection/>
    </xf>
    <xf numFmtId="0" fontId="3" fillId="0" borderId="17" xfId="56" applyFont="1" applyBorder="1" applyAlignment="1" applyProtection="1">
      <alignment horizontal="center"/>
      <protection hidden="1"/>
    </xf>
    <xf numFmtId="49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>
      <alignment/>
      <protection/>
    </xf>
    <xf numFmtId="0" fontId="3" fillId="0" borderId="29" xfId="56" applyFont="1" applyFill="1" applyBorder="1" applyAlignment="1">
      <alignment/>
      <protection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center" vertical="top"/>
      <protection hidden="1"/>
    </xf>
    <xf numFmtId="0" fontId="3" fillId="0" borderId="28" xfId="56" applyFont="1" applyFill="1" applyBorder="1" applyAlignment="1" applyProtection="1">
      <alignment horizontal="center"/>
      <protection hidden="1"/>
    </xf>
    <xf numFmtId="0" fontId="3" fillId="0" borderId="16" xfId="56" applyFont="1" applyBorder="1" applyAlignment="1" applyProtection="1">
      <alignment horizontal="right" vertical="center" wrapText="1"/>
      <protection hidden="1"/>
    </xf>
    <xf numFmtId="0" fontId="3" fillId="0" borderId="25" xfId="56" applyFont="1" applyBorder="1" applyAlignment="1" applyProtection="1">
      <alignment horizontal="right" wrapText="1"/>
      <protection hidden="1"/>
    </xf>
    <xf numFmtId="49" fontId="4" fillId="0" borderId="27" xfId="40" applyNumberFormat="1" applyFill="1" applyBorder="1" applyAlignment="1" applyProtection="1">
      <alignment horizontal="left" vertical="center"/>
      <protection hidden="1" locked="0"/>
    </xf>
    <xf numFmtId="49" fontId="2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6" applyNumberFormat="1" applyFont="1" applyFill="1" applyBorder="1" applyAlignment="1" applyProtection="1">
      <alignment horizontal="left" vertical="center"/>
      <protection hidden="1" locked="0"/>
    </xf>
    <xf numFmtId="0" fontId="3" fillId="0" borderId="16" xfId="56" applyFont="1" applyBorder="1" applyAlignment="1" applyProtection="1">
      <alignment horizontal="right" vertical="center"/>
      <protection hidden="1"/>
    </xf>
    <xf numFmtId="0" fontId="3" fillId="0" borderId="25" xfId="56" applyFont="1" applyBorder="1" applyAlignment="1" applyProtection="1">
      <alignment horizontal="right"/>
      <protection hidden="1"/>
    </xf>
    <xf numFmtId="49" fontId="2" fillId="0" borderId="27" xfId="56" applyNumberFormat="1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>
      <alignment horizontal="left" vertical="center"/>
      <protection/>
    </xf>
    <xf numFmtId="0" fontId="15" fillId="0" borderId="0" xfId="60" applyFont="1" applyBorder="1" applyAlignment="1" applyProtection="1">
      <alignment horizontal="left"/>
      <protection hidden="1"/>
    </xf>
    <xf numFmtId="0" fontId="16" fillId="0" borderId="0" xfId="60" applyFont="1" applyBorder="1" applyAlignment="1">
      <alignment/>
      <protection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25" xfId="60" applyFill="1" applyBorder="1" applyAlignment="1">
      <alignment/>
      <protection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31" xfId="56" applyFont="1" applyBorder="1" applyAlignment="1" applyProtection="1">
      <alignment horizontal="center" vertical="top"/>
      <protection hidden="1"/>
    </xf>
    <xf numFmtId="0" fontId="3" fillId="0" borderId="31" xfId="56" applyFont="1" applyBorder="1" applyAlignment="1">
      <alignment horizontal="center"/>
      <protection/>
    </xf>
    <xf numFmtId="0" fontId="3" fillId="0" borderId="32" xfId="56" applyFont="1" applyBorder="1" applyAlignment="1">
      <alignment/>
      <protection/>
    </xf>
    <xf numFmtId="49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0" fontId="3" fillId="0" borderId="0" xfId="56" applyFont="1" applyBorder="1" applyAlignment="1" applyProtection="1">
      <alignment horizontal="right" vertical="center"/>
      <protection hidden="1"/>
    </xf>
    <xf numFmtId="0" fontId="4" fillId="0" borderId="27" xfId="40" applyFill="1" applyBorder="1" applyAlignment="1" applyProtection="1">
      <alignment/>
      <protection hidden="1" locked="0"/>
    </xf>
    <xf numFmtId="0" fontId="2" fillId="0" borderId="28" xfId="56" applyFont="1" applyFill="1" applyBorder="1" applyAlignment="1" applyProtection="1">
      <alignment/>
      <protection hidden="1" locked="0"/>
    </xf>
    <xf numFmtId="0" fontId="2" fillId="0" borderId="29" xfId="56" applyFont="1" applyFill="1" applyBorder="1" applyAlignment="1" applyProtection="1">
      <alignment/>
      <protection hidden="1" locked="0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28" xfId="56" applyFont="1" applyFill="1" applyBorder="1" applyAlignment="1">
      <alignment horizontal="left" vertical="center"/>
      <protection/>
    </xf>
    <xf numFmtId="1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0" fontId="2" fillId="0" borderId="16" xfId="56" applyFont="1" applyFill="1" applyBorder="1" applyAlignment="1" applyProtection="1">
      <alignment horizontal="left" vertical="center" wrapText="1"/>
      <protection hidden="1"/>
    </xf>
    <xf numFmtId="0" fontId="2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1" fillId="0" borderId="16" xfId="56" applyFont="1" applyBorder="1" applyAlignment="1" applyProtection="1">
      <alignment horizontal="right" vertical="center" wrapText="1"/>
      <protection hidden="1"/>
    </xf>
    <xf numFmtId="0" fontId="1" fillId="0" borderId="25" xfId="5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POD" xfId="56"/>
    <cellStyle name="Percent" xfId="57"/>
    <cellStyle name="Povezana ćelija" xfId="58"/>
    <cellStyle name="Provjera ćelije" xfId="59"/>
    <cellStyle name="Style 1" xfId="60"/>
    <cellStyle name="Tekst objašnjenja" xfId="61"/>
    <cellStyle name="Tekst upozorenja" xfId="62"/>
    <cellStyle name="Ukupni zbroj" xfId="63"/>
    <cellStyle name="Unos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mailto:miodrag.klickovic@losi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48" sqref="C48:E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7" t="s">
        <v>352</v>
      </c>
      <c r="F2" s="12"/>
      <c r="G2" s="13" t="s">
        <v>250</v>
      </c>
      <c r="H2" s="117" t="s">
        <v>361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94" t="s">
        <v>315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9" t="s">
        <v>251</v>
      </c>
      <c r="B6" s="160"/>
      <c r="C6" s="175" t="s">
        <v>321</v>
      </c>
      <c r="D6" s="14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7" t="s">
        <v>252</v>
      </c>
      <c r="B8" s="198"/>
      <c r="C8" s="175" t="s">
        <v>322</v>
      </c>
      <c r="D8" s="14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4" t="s">
        <v>253</v>
      </c>
      <c r="B10" s="189"/>
      <c r="C10" s="175" t="s">
        <v>323</v>
      </c>
      <c r="D10" s="14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9" t="s">
        <v>254</v>
      </c>
      <c r="B12" s="160"/>
      <c r="C12" s="145" t="s">
        <v>324</v>
      </c>
      <c r="D12" s="186"/>
      <c r="E12" s="186"/>
      <c r="F12" s="186"/>
      <c r="G12" s="186"/>
      <c r="H12" s="186"/>
      <c r="I12" s="16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9" t="s">
        <v>255</v>
      </c>
      <c r="B14" s="160"/>
      <c r="C14" s="187">
        <v>51550</v>
      </c>
      <c r="D14" s="188"/>
      <c r="E14" s="16"/>
      <c r="F14" s="145" t="s">
        <v>325</v>
      </c>
      <c r="G14" s="186"/>
      <c r="H14" s="186"/>
      <c r="I14" s="16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9" t="s">
        <v>256</v>
      </c>
      <c r="B16" s="160"/>
      <c r="C16" s="145" t="s">
        <v>326</v>
      </c>
      <c r="D16" s="186"/>
      <c r="E16" s="186"/>
      <c r="F16" s="186"/>
      <c r="G16" s="186"/>
      <c r="H16" s="186"/>
      <c r="I16" s="16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9" t="s">
        <v>257</v>
      </c>
      <c r="B18" s="160"/>
      <c r="C18" s="182" t="s">
        <v>327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9" t="s">
        <v>258</v>
      </c>
      <c r="B20" s="160"/>
      <c r="C20" s="182" t="s">
        <v>328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9" t="s">
        <v>259</v>
      </c>
      <c r="B22" s="160"/>
      <c r="C22" s="118">
        <v>252</v>
      </c>
      <c r="D22" s="145" t="s">
        <v>325</v>
      </c>
      <c r="E22" s="142"/>
      <c r="F22" s="137"/>
      <c r="G22" s="159"/>
      <c r="H22" s="18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9" t="s">
        <v>260</v>
      </c>
      <c r="B24" s="160"/>
      <c r="C24" s="118">
        <v>8</v>
      </c>
      <c r="D24" s="145" t="s">
        <v>329</v>
      </c>
      <c r="E24" s="142"/>
      <c r="F24" s="142"/>
      <c r="G24" s="137"/>
      <c r="H24" s="48" t="s">
        <v>261</v>
      </c>
      <c r="I24" s="128">
        <f>84+110+36</f>
        <v>230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59" t="s">
        <v>262</v>
      </c>
      <c r="B26" s="160"/>
      <c r="C26" s="119" t="s">
        <v>330</v>
      </c>
      <c r="D26" s="25"/>
      <c r="E26" s="33"/>
      <c r="F26" s="24"/>
      <c r="G26" s="181" t="s">
        <v>263</v>
      </c>
      <c r="H26" s="160"/>
      <c r="I26" s="123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35" t="s">
        <v>264</v>
      </c>
      <c r="B28" s="136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5" t="s">
        <v>332</v>
      </c>
      <c r="B30" s="142"/>
      <c r="C30" s="142"/>
      <c r="D30" s="137"/>
      <c r="E30" s="138" t="s">
        <v>325</v>
      </c>
      <c r="F30" s="131"/>
      <c r="G30" s="132"/>
      <c r="H30" s="175" t="s">
        <v>333</v>
      </c>
      <c r="I30" s="144"/>
      <c r="J30" s="10"/>
      <c r="K30" s="10"/>
      <c r="L30" s="10"/>
    </row>
    <row r="31" spans="1:12" ht="12.75">
      <c r="A31" s="91"/>
      <c r="B31" s="22"/>
      <c r="C31" s="21"/>
      <c r="D31" s="133"/>
      <c r="E31" s="133"/>
      <c r="F31" s="133"/>
      <c r="G31" s="134"/>
      <c r="H31" s="16"/>
      <c r="I31" s="98"/>
      <c r="J31" s="10"/>
      <c r="K31" s="10"/>
      <c r="L31" s="10"/>
    </row>
    <row r="32" spans="1:12" ht="12.75">
      <c r="A32" s="145" t="s">
        <v>334</v>
      </c>
      <c r="B32" s="142"/>
      <c r="C32" s="142"/>
      <c r="D32" s="137"/>
      <c r="E32" s="138" t="s">
        <v>325</v>
      </c>
      <c r="F32" s="131"/>
      <c r="G32" s="132"/>
      <c r="H32" s="175" t="s">
        <v>335</v>
      </c>
      <c r="I32" s="14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45" t="s">
        <v>336</v>
      </c>
      <c r="B34" s="142"/>
      <c r="C34" s="142"/>
      <c r="D34" s="137"/>
      <c r="E34" s="138" t="s">
        <v>325</v>
      </c>
      <c r="F34" s="131"/>
      <c r="G34" s="132"/>
      <c r="H34" s="175" t="s">
        <v>337</v>
      </c>
      <c r="I34" s="14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5" t="s">
        <v>359</v>
      </c>
      <c r="B36" s="142"/>
      <c r="C36" s="142"/>
      <c r="D36" s="137"/>
      <c r="E36" s="138" t="s">
        <v>325</v>
      </c>
      <c r="F36" s="131"/>
      <c r="G36" s="132"/>
      <c r="H36" s="175" t="s">
        <v>358</v>
      </c>
      <c r="I36" s="144"/>
      <c r="J36" s="10"/>
      <c r="K36" s="10"/>
      <c r="L36" s="10"/>
    </row>
    <row r="37" spans="1:12" ht="12.75">
      <c r="A37" s="100"/>
      <c r="B37" s="30"/>
      <c r="C37" s="150"/>
      <c r="D37" s="151"/>
      <c r="E37" s="16"/>
      <c r="F37" s="150"/>
      <c r="G37" s="151"/>
      <c r="H37" s="16"/>
      <c r="I37" s="92"/>
      <c r="J37" s="10"/>
      <c r="K37" s="10"/>
      <c r="L37" s="10"/>
    </row>
    <row r="38" spans="1:12" ht="12.75">
      <c r="A38" s="141"/>
      <c r="B38" s="146"/>
      <c r="C38" s="146"/>
      <c r="D38" s="147"/>
      <c r="E38" s="141"/>
      <c r="F38" s="146"/>
      <c r="G38" s="146"/>
      <c r="H38" s="175"/>
      <c r="I38" s="14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1"/>
      <c r="B40" s="146"/>
      <c r="C40" s="146"/>
      <c r="D40" s="147"/>
      <c r="E40" s="141"/>
      <c r="F40" s="146"/>
      <c r="G40" s="146"/>
      <c r="H40" s="175"/>
      <c r="I40" s="14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4" t="s">
        <v>267</v>
      </c>
      <c r="B44" s="155"/>
      <c r="C44" s="175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100"/>
      <c r="B45" s="30"/>
      <c r="C45" s="150"/>
      <c r="D45" s="151"/>
      <c r="E45" s="16"/>
      <c r="F45" s="150"/>
      <c r="G45" s="143"/>
      <c r="H45" s="35"/>
      <c r="I45" s="104"/>
      <c r="J45" s="10"/>
      <c r="K45" s="10"/>
      <c r="L45" s="10"/>
    </row>
    <row r="46" spans="1:12" ht="12.75">
      <c r="A46" s="154" t="s">
        <v>268</v>
      </c>
      <c r="B46" s="155"/>
      <c r="C46" s="145" t="s">
        <v>353</v>
      </c>
      <c r="D46" s="139"/>
      <c r="E46" s="139"/>
      <c r="F46" s="139"/>
      <c r="G46" s="139"/>
      <c r="H46" s="139"/>
      <c r="I46" s="140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4" t="s">
        <v>270</v>
      </c>
      <c r="B48" s="155"/>
      <c r="C48" s="161" t="s">
        <v>354</v>
      </c>
      <c r="D48" s="157"/>
      <c r="E48" s="158"/>
      <c r="F48" s="16"/>
      <c r="G48" s="48" t="s">
        <v>271</v>
      </c>
      <c r="H48" s="161" t="s">
        <v>355</v>
      </c>
      <c r="I48" s="15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4" t="s">
        <v>257</v>
      </c>
      <c r="B50" s="155"/>
      <c r="C50" s="156" t="s">
        <v>356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9" t="s">
        <v>272</v>
      </c>
      <c r="B52" s="160"/>
      <c r="C52" s="161" t="s">
        <v>357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3" t="s">
        <v>274</v>
      </c>
      <c r="C55" s="164"/>
      <c r="D55" s="164"/>
      <c r="E55" s="164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65" t="s">
        <v>305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5"/>
      <c r="B57" s="165" t="s">
        <v>306</v>
      </c>
      <c r="C57" s="166"/>
      <c r="D57" s="166"/>
      <c r="E57" s="166"/>
      <c r="F57" s="166"/>
      <c r="G57" s="166"/>
      <c r="H57" s="166"/>
      <c r="I57" s="107"/>
      <c r="J57" s="10"/>
      <c r="K57" s="10"/>
      <c r="L57" s="10"/>
    </row>
    <row r="58" spans="1:12" ht="12.75">
      <c r="A58" s="105"/>
      <c r="B58" s="165" t="s">
        <v>307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5"/>
      <c r="B59" s="168" t="s">
        <v>308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2"/>
      <c r="H63" s="153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miodrag.klickovic@losini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90" sqref="K90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338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5" t="s">
        <v>278</v>
      </c>
      <c r="J4" s="56" t="s">
        <v>317</v>
      </c>
      <c r="K4" s="57" t="s">
        <v>318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4">
        <v>2</v>
      </c>
      <c r="J5" s="53">
        <v>3</v>
      </c>
      <c r="K5" s="53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0">
        <f>J9+J16+J26+J35+J39</f>
        <v>511104374</v>
      </c>
      <c r="K8" s="50">
        <f>K9+K16+K26+K35+K39</f>
        <v>331983967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0">
        <f>SUM(J10:J15)</f>
        <v>947737</v>
      </c>
      <c r="K9" s="50">
        <f>SUM(K10:K15)</f>
        <v>849128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99296</v>
      </c>
      <c r="K10" s="7">
        <v>77698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23713</v>
      </c>
      <c r="K11" s="7">
        <v>23713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221932</v>
      </c>
      <c r="K12" s="7">
        <v>144921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602796</v>
      </c>
      <c r="K14" s="7">
        <v>602796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0">
        <f>SUM(J17:J25)</f>
        <v>421832283</v>
      </c>
      <c r="K16" s="50">
        <f>SUM(K17:K25)</f>
        <v>244702288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20341123</v>
      </c>
      <c r="K17" s="7">
        <v>20362711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41278456</v>
      </c>
      <c r="K18" s="7">
        <v>38678615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2136158</v>
      </c>
      <c r="K19" s="7">
        <v>2214818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344989048</v>
      </c>
      <c r="K20" s="7">
        <v>170339911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8041117</v>
      </c>
      <c r="K23" s="7">
        <v>8124753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343780</v>
      </c>
      <c r="K24" s="7">
        <v>343780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4702601</v>
      </c>
      <c r="K25" s="7">
        <v>4637700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0">
        <f>SUM(J27:J34)</f>
        <v>88065109</v>
      </c>
      <c r="K26" s="50">
        <f>SUM(K27:K34)</f>
        <v>86173306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1739600</v>
      </c>
      <c r="K29" s="7">
        <v>1739546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11318762</v>
      </c>
      <c r="K30" s="7">
        <v>10648038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1703773</v>
      </c>
      <c r="K31" s="7">
        <v>1703773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827465</v>
      </c>
      <c r="K32" s="7">
        <v>923521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236</v>
      </c>
      <c r="K33" s="7">
        <v>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72475273</v>
      </c>
      <c r="K34" s="7">
        <v>71158428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259245</v>
      </c>
      <c r="K39" s="7">
        <v>259245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0">
        <f>J41+J49+J56+J64</f>
        <v>83639897</v>
      </c>
      <c r="K40" s="50">
        <f>K41+K49+K56+K64</f>
        <v>79832384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0">
        <f>SUM(J42:J48)</f>
        <v>3429170</v>
      </c>
      <c r="K41" s="50">
        <f>SUM(K42:K48)</f>
        <v>3576515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3401607</v>
      </c>
      <c r="K42" s="7">
        <v>3541356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>
        <v>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0</v>
      </c>
      <c r="K44" s="7">
        <v>0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27563</v>
      </c>
      <c r="K45" s="7">
        <v>35159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0</v>
      </c>
      <c r="K46" s="7">
        <v>0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0">
        <f>SUM(J50:J55)</f>
        <v>29883126</v>
      </c>
      <c r="K49" s="50">
        <f>SUM(K50:K55)</f>
        <v>31371111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0</v>
      </c>
      <c r="K50" s="7">
        <v>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16472626</v>
      </c>
      <c r="K51" s="7">
        <v>22241105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1801919</v>
      </c>
      <c r="K52" s="7">
        <v>1113439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221599</v>
      </c>
      <c r="K53" s="7">
        <v>172900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2691548</v>
      </c>
      <c r="K54" s="7">
        <v>3382976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8695434</v>
      </c>
      <c r="K55" s="7">
        <v>4460691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0">
        <f>SUM(J57:J63)</f>
        <v>7551619</v>
      </c>
      <c r="K56" s="50">
        <f>SUM(K57:K63)</f>
        <v>7726439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7043957</v>
      </c>
      <c r="K60" s="7">
        <v>7018803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0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497636</v>
      </c>
      <c r="K62" s="7">
        <v>707636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10026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42775982</v>
      </c>
      <c r="K64" s="7">
        <v>37158319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199597</v>
      </c>
      <c r="K65" s="7">
        <v>84041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0">
        <f>J7+J8+J40+J65</f>
        <v>594943868</v>
      </c>
      <c r="K66" s="50">
        <f>K7+K8+K40+K65</f>
        <v>411900392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0</v>
      </c>
      <c r="K67" s="8">
        <v>0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1">
        <f>J70+J71+J72+J78+J79+J82+J85</f>
        <v>273519658</v>
      </c>
      <c r="K69" s="51">
        <f>K70+K71+K72+K78+K79+K82+K85</f>
        <v>116571646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231845600</v>
      </c>
      <c r="K70" s="7">
        <v>231845600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14715887</v>
      </c>
      <c r="K71" s="7">
        <v>14715887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0">
        <f>J73+J74-J75+J76+J77</f>
        <v>24302</v>
      </c>
      <c r="K72" s="50">
        <v>24302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13275</v>
      </c>
      <c r="K73" s="7">
        <v>13275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11027</v>
      </c>
      <c r="K77" s="7">
        <v>11027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0</v>
      </c>
      <c r="K78" s="7">
        <v>0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0">
        <f>J80-J81</f>
        <v>-4161373</v>
      </c>
      <c r="K79" s="50">
        <f>K80-K81</f>
        <v>-52049980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0</v>
      </c>
      <c r="K80" s="7">
        <v>0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4161373</v>
      </c>
      <c r="K81" s="7">
        <v>52049980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0">
        <f>J83-J84</f>
        <v>-24900666</v>
      </c>
      <c r="K82" s="50">
        <f>K83-K84</f>
        <v>-71038879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24900666</v>
      </c>
      <c r="K84" s="7">
        <v>71038879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55995908</v>
      </c>
      <c r="K85" s="7">
        <v>-6925284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0">
        <f>SUM(J87:J89)</f>
        <v>6539999</v>
      </c>
      <c r="K86" s="50">
        <f>SUM(K87:K89)</f>
        <v>6413931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6539999</v>
      </c>
      <c r="K89" s="7">
        <v>6413931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0">
        <f>SUM(J91:J99)</f>
        <v>174387615</v>
      </c>
      <c r="K90" s="50">
        <f>SUM(K91:K99)</f>
        <v>12326520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174110376</v>
      </c>
      <c r="K93" s="7">
        <v>12050040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50000</v>
      </c>
      <c r="K97" s="7">
        <v>50000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227239</v>
      </c>
      <c r="K99" s="7">
        <v>226480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0">
        <f>SUM(J101:J112)</f>
        <v>140019607</v>
      </c>
      <c r="K100" s="50">
        <f>SUM(K101:K112)</f>
        <v>276588295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0</v>
      </c>
      <c r="K101" s="7">
        <v>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3639019</v>
      </c>
      <c r="K102" s="7">
        <v>5124858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96860215</v>
      </c>
      <c r="K103" s="7">
        <v>229998754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905487</v>
      </c>
      <c r="K104" s="7">
        <v>1687798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34581178</v>
      </c>
      <c r="K105" s="7">
        <v>35368936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225843</v>
      </c>
      <c r="K107" s="7">
        <v>2320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1495065</v>
      </c>
      <c r="K108" s="7">
        <v>1051034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2026299</v>
      </c>
      <c r="K109" s="7">
        <v>2960656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209532</v>
      </c>
      <c r="K110" s="7">
        <v>232969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76969</v>
      </c>
      <c r="K112" s="7">
        <v>160970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476989</v>
      </c>
      <c r="K113" s="7">
        <v>0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0">
        <f>J69+J86+J90+J100+J113</f>
        <v>594943868</v>
      </c>
      <c r="K114" s="50">
        <f>K69+K86+K90+K100+K113</f>
        <v>411900392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0</v>
      </c>
      <c r="K115" s="8"/>
    </row>
    <row r="116" spans="1:11" ht="12.75">
      <c r="A116" s="223" t="s">
        <v>309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2"/>
      <c r="J117" s="242"/>
      <c r="K117" s="243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217523750</v>
      </c>
      <c r="K118" s="7">
        <v>123496930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55995908</v>
      </c>
      <c r="K119" s="8">
        <v>-6925284</v>
      </c>
    </row>
    <row r="120" spans="1:11" ht="12.75">
      <c r="A120" s="232" t="s">
        <v>310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M67" sqref="M6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3" t="s">
        <v>363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338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5" t="s">
        <v>279</v>
      </c>
      <c r="J4" s="244" t="s">
        <v>317</v>
      </c>
      <c r="K4" s="244"/>
      <c r="L4" s="244" t="s">
        <v>318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1">
        <f>SUM(J8:J9)</f>
        <v>108532598</v>
      </c>
      <c r="K7" s="51">
        <f>SUM(K8:K9)</f>
        <v>64973974</v>
      </c>
      <c r="L7" s="51">
        <f>SUM(L8:L9)</f>
        <v>53212791</v>
      </c>
      <c r="M7" s="51">
        <f>SUM(M8:M9)</f>
        <v>28690719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105660512</v>
      </c>
      <c r="K8" s="7">
        <v>63592599</v>
      </c>
      <c r="L8" s="7">
        <f>47541972</f>
        <v>47541972</v>
      </c>
      <c r="M8" s="7">
        <f>L8-21388089</f>
        <v>26153883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2872086</v>
      </c>
      <c r="K9" s="7">
        <v>1381375</v>
      </c>
      <c r="L9" s="7">
        <v>5670819</v>
      </c>
      <c r="M9" s="7">
        <f>L9-3133983</f>
        <v>2536836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0">
        <f>J11+J12+J16+J20+J21+J22+J25+J26</f>
        <v>151034684</v>
      </c>
      <c r="K10" s="50">
        <f>K11+K12+K16+K20+K21+K22+K25+K26</f>
        <v>73183242</v>
      </c>
      <c r="L10" s="50">
        <f>L11+L12+L16+L20+L21+L22+L25+L26</f>
        <v>201555631</v>
      </c>
      <c r="M10" s="50">
        <f>M11+M12+M16+M20+M21+M22+M25+M26</f>
        <v>26440655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0">
        <f>SUM(J13:J15)</f>
        <v>80355389</v>
      </c>
      <c r="K12" s="50">
        <f>SUM(K13:K15)</f>
        <v>41441045</v>
      </c>
      <c r="L12" s="50">
        <f>SUM(L13:L15)</f>
        <v>38152718</v>
      </c>
      <c r="M12" s="50">
        <f>SUM(M13:M15)</f>
        <v>15036877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54546658</v>
      </c>
      <c r="K13" s="7">
        <v>28891496</v>
      </c>
      <c r="L13" s="7">
        <v>17690294</v>
      </c>
      <c r="M13" s="7">
        <f>L13-14098609</f>
        <v>3591685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4932</v>
      </c>
      <c r="M14" s="7">
        <v>4932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25808731</v>
      </c>
      <c r="K15" s="7">
        <v>12549549</v>
      </c>
      <c r="L15" s="7">
        <v>20457492</v>
      </c>
      <c r="M15" s="7">
        <f>L15-9017232</f>
        <v>11440260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0">
        <f>SUM(J17:J19)</f>
        <v>24877710</v>
      </c>
      <c r="K16" s="50">
        <f>SUM(K17:K19)</f>
        <v>12376021</v>
      </c>
      <c r="L16" s="50">
        <f>SUM(L17:L19)</f>
        <v>14629167</v>
      </c>
      <c r="M16" s="50">
        <f>SUM(M17:M19)</f>
        <v>6265642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20063201</v>
      </c>
      <c r="K17" s="7">
        <v>9904572</v>
      </c>
      <c r="L17" s="7">
        <v>10965730</v>
      </c>
      <c r="M17" s="7">
        <f>L17-6558801</f>
        <v>4406929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3111364</v>
      </c>
      <c r="K18" s="7">
        <v>1617541</v>
      </c>
      <c r="L18" s="7">
        <v>2433439</v>
      </c>
      <c r="M18" s="7">
        <f>L18-1211246</f>
        <v>1222193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1703145</v>
      </c>
      <c r="K19" s="7">
        <v>853908</v>
      </c>
      <c r="L19" s="7">
        <v>1229998</v>
      </c>
      <c r="M19" s="7">
        <f>L19-593478</f>
        <v>636520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26790781</v>
      </c>
      <c r="K20" s="7">
        <v>13379838</v>
      </c>
      <c r="L20" s="7">
        <v>11928519</v>
      </c>
      <c r="M20" s="7">
        <f>L20-7771775</f>
        <v>4156744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9680867</v>
      </c>
      <c r="K21" s="7">
        <v>4682111</v>
      </c>
      <c r="L21" s="7">
        <f>8071492-2000000</f>
        <v>6071492</v>
      </c>
      <c r="M21" s="7">
        <f>L21-5101755</f>
        <v>969737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9329937</v>
      </c>
      <c r="K26" s="7">
        <v>1304227</v>
      </c>
      <c r="L26" s="7">
        <f>128773735+2000000</f>
        <v>130773735</v>
      </c>
      <c r="M26" s="7">
        <f>L26-130762080</f>
        <v>11655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0">
        <f>SUM(J28:J32)</f>
        <v>14551658</v>
      </c>
      <c r="K27" s="50">
        <f>SUM(K28:K32)</f>
        <v>5587298</v>
      </c>
      <c r="L27" s="50">
        <f>SUM(L28:L32)</f>
        <v>28517224</v>
      </c>
      <c r="M27" s="50">
        <f>SUM(M28:M32)</f>
        <v>23007633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199302</v>
      </c>
      <c r="K28" s="7">
        <v>-422250</v>
      </c>
      <c r="L28" s="7">
        <v>14773997</v>
      </c>
      <c r="M28" s="7">
        <f>L28-228840</f>
        <v>14545157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14278697</v>
      </c>
      <c r="K29" s="7">
        <v>5998041</v>
      </c>
      <c r="L29" s="7">
        <v>12790526</v>
      </c>
      <c r="M29" s="7">
        <f>L29-5280751</f>
        <v>7509775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7654</v>
      </c>
      <c r="K30" s="7">
        <v>7654</v>
      </c>
      <c r="L30" s="7">
        <v>11366</v>
      </c>
      <c r="M30" s="7">
        <f>L30-0</f>
        <v>11366</v>
      </c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66005</v>
      </c>
      <c r="K32" s="7">
        <v>3853</v>
      </c>
      <c r="L32" s="7">
        <v>941335</v>
      </c>
      <c r="M32" s="7">
        <f>L32-0</f>
        <v>941335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0">
        <f>SUM(J34:J37)</f>
        <v>26245923</v>
      </c>
      <c r="K33" s="50">
        <f>SUM(K34:K37)</f>
        <v>21752072</v>
      </c>
      <c r="L33" s="50">
        <f>SUM(L34:L37)</f>
        <v>19599273</v>
      </c>
      <c r="M33" s="50">
        <f>SUM(M34:M37)</f>
        <v>6406738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26245923</v>
      </c>
      <c r="K35" s="7">
        <v>21752072</v>
      </c>
      <c r="L35" s="7">
        <v>19588337</v>
      </c>
      <c r="M35" s="7">
        <f>L35-13192535</f>
        <v>6395802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0</v>
      </c>
      <c r="K37" s="7">
        <v>0</v>
      </c>
      <c r="L37" s="7">
        <v>10936</v>
      </c>
      <c r="M37" s="7">
        <f>L37-0</f>
        <v>10936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0">
        <f>J7+J27+J38+J40</f>
        <v>123084256</v>
      </c>
      <c r="K42" s="50">
        <f>K7+K27+K38+K40</f>
        <v>70561272</v>
      </c>
      <c r="L42" s="50">
        <f>L7+L27+L38+L40</f>
        <v>81730015</v>
      </c>
      <c r="M42" s="50">
        <f>M7+M27+M38+M40</f>
        <v>51698352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0">
        <f>J10+J33+J39+J41</f>
        <v>177280607</v>
      </c>
      <c r="K43" s="50">
        <f>K10+K33+K39+K41</f>
        <v>94935314</v>
      </c>
      <c r="L43" s="50">
        <f>L10+L33+L39+L41</f>
        <v>221154904</v>
      </c>
      <c r="M43" s="50">
        <f>M10+M33+M39+M41</f>
        <v>32847393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0">
        <f>J42-J43</f>
        <v>-54196351</v>
      </c>
      <c r="K44" s="50">
        <f>K42-K43</f>
        <v>-24374042</v>
      </c>
      <c r="L44" s="50">
        <f>L42-L43</f>
        <v>-139424889</v>
      </c>
      <c r="M44" s="50">
        <f>M42-M43</f>
        <v>18850959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0">
        <f>IF(J42&gt;J43,J42-J43,0)</f>
        <v>0</v>
      </c>
      <c r="K45" s="50">
        <v>0</v>
      </c>
      <c r="L45" s="50">
        <f>IF(L42&gt;L43,L42-L43,0)</f>
        <v>0</v>
      </c>
      <c r="M45" s="50">
        <f>M44</f>
        <v>18850959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0">
        <f>IF(J43&gt;J42,J43-J42,0)</f>
        <v>54196351</v>
      </c>
      <c r="K46" s="50">
        <f>IF(K43&gt;K42,K43-K42,0)</f>
        <v>24374042</v>
      </c>
      <c r="L46" s="50">
        <f>IF(L43&gt;L42,L43-L42,0)</f>
        <v>139424889</v>
      </c>
      <c r="M46" s="50"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83139</v>
      </c>
      <c r="K47" s="7">
        <v>76411</v>
      </c>
      <c r="L47" s="7">
        <v>143757</v>
      </c>
      <c r="M47" s="7">
        <f>L47-20640</f>
        <v>123117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0">
        <f>J44-J47</f>
        <v>-54279490</v>
      </c>
      <c r="K48" s="50">
        <f>K44-K47</f>
        <v>-24450453</v>
      </c>
      <c r="L48" s="50">
        <f>L44-L47</f>
        <v>-139568646</v>
      </c>
      <c r="M48" s="50">
        <f>M44-M47</f>
        <v>18727842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0">
        <f>IF(J48&gt;0,J48,0)</f>
        <v>0</v>
      </c>
      <c r="K49" s="50">
        <v>0</v>
      </c>
      <c r="L49" s="50">
        <f>IF(L48&gt;0,L48,0)</f>
        <v>0</v>
      </c>
      <c r="M49" s="50">
        <f>M48</f>
        <v>18727842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f>IF(J48&lt;0,-J48,0)</f>
        <v>54279490</v>
      </c>
      <c r="K50" s="58">
        <f>IF(K48&lt;0,-K48,0)</f>
        <v>24450453</v>
      </c>
      <c r="L50" s="58">
        <f>IF(L48&lt;0,-L48,0)</f>
        <v>139568646</v>
      </c>
      <c r="M50" s="58"/>
    </row>
    <row r="51" spans="1:13" ht="12.75" customHeight="1">
      <c r="A51" s="223" t="s">
        <v>311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-24589409</v>
      </c>
      <c r="K53" s="7">
        <v>-12039824</v>
      </c>
      <c r="L53" s="7">
        <v>-71038879</v>
      </c>
      <c r="M53" s="7">
        <f>L53+81743911</f>
        <v>10705032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-29690081</v>
      </c>
      <c r="K54" s="8">
        <v>-12410629</v>
      </c>
      <c r="L54" s="8">
        <v>-68529767</v>
      </c>
      <c r="M54" s="8">
        <f>L54+76552577</f>
        <v>8022810</v>
      </c>
    </row>
    <row r="55" spans="1:13" ht="12.75" customHeight="1">
      <c r="A55" s="223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J48</f>
        <v>-54279490</v>
      </c>
      <c r="K56" s="6">
        <f>K48</f>
        <v>-24450453</v>
      </c>
      <c r="L56" s="6">
        <f>L48</f>
        <v>-139568646</v>
      </c>
      <c r="M56" s="6">
        <f>L56+158296488</f>
        <v>18727842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0">
        <f>SUM(J58:J64)</f>
        <v>5603450</v>
      </c>
      <c r="K57" s="50">
        <f>SUM(K58:K64)</f>
        <v>12823796</v>
      </c>
      <c r="L57" s="50">
        <f>SUM(L58:L64)</f>
        <v>-1628739</v>
      </c>
      <c r="M57" s="50">
        <f>SUM(M58:M64)</f>
        <v>-7916147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5603450</v>
      </c>
      <c r="K58" s="7">
        <v>12823796</v>
      </c>
      <c r="L58" s="7">
        <v>-1628739</v>
      </c>
      <c r="M58" s="7">
        <f>L58-6287408</f>
        <v>-7916147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>
        <v>1120690</v>
      </c>
      <c r="K65" s="7">
        <v>-323379</v>
      </c>
      <c r="L65" s="7">
        <v>325748</v>
      </c>
      <c r="M65" s="7">
        <f>L65-1257482</f>
        <v>-931734</v>
      </c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>
        <v>4482760</v>
      </c>
      <c r="K66" s="50">
        <v>13147175</v>
      </c>
      <c r="L66" s="50">
        <f>L57-L65</f>
        <v>-1954487</v>
      </c>
      <c r="M66" s="50">
        <f>M57-M65</f>
        <v>-6984413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8">
        <f>J56+J66</f>
        <v>-49796730</v>
      </c>
      <c r="K67" s="58">
        <f>K56+K66</f>
        <v>-11303278</v>
      </c>
      <c r="L67" s="58">
        <f>L56+L66</f>
        <v>-141523133</v>
      </c>
      <c r="M67" s="58">
        <f>M56+M66</f>
        <v>11743429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v>-20106649</v>
      </c>
      <c r="K70" s="7">
        <v>-1107351</v>
      </c>
      <c r="L70" s="7">
        <v>-72993366</v>
      </c>
      <c r="M70" s="7">
        <f>L70+76713985</f>
        <v>3720619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f>J54</f>
        <v>-29690081</v>
      </c>
      <c r="K71" s="8">
        <f>K54</f>
        <v>-12410629</v>
      </c>
      <c r="L71" s="8">
        <v>-68529767</v>
      </c>
      <c r="M71" s="8">
        <f>L71+76552577</f>
        <v>8022810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317</v>
      </c>
      <c r="K4" s="64" t="s">
        <v>318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282</v>
      </c>
      <c r="K5" s="66" t="s">
        <v>283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-54196351</v>
      </c>
      <c r="K7" s="7">
        <v>-139424889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26790781</v>
      </c>
      <c r="K8" s="7">
        <v>11928519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4103215</v>
      </c>
      <c r="K9" s="7">
        <v>136568688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3093659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/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32550849</v>
      </c>
      <c r="K12" s="7">
        <v>0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50">
        <f>J7+J8+J9+J10+J11+J12</f>
        <v>12342153</v>
      </c>
      <c r="K13" s="50">
        <f>K7+K8+K9+K10+K11+K12</f>
        <v>9072318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/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/>
      <c r="K15" s="7">
        <v>1487985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280863</v>
      </c>
      <c r="K16" s="7">
        <v>147345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24372032</v>
      </c>
      <c r="K17" s="7">
        <v>25316825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0">
        <f>SUM(J14:J17)</f>
        <v>24652895</v>
      </c>
      <c r="K18" s="50">
        <f>SUM(K14:K17)</f>
        <v>26952155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50">
        <f>IF(J18&gt;J13,J18-J13,0)</f>
        <v>12310742</v>
      </c>
      <c r="K20" s="50">
        <f>IF(K18&gt;K13,K18-K13,0)</f>
        <v>17879837</v>
      </c>
    </row>
    <row r="21" spans="1:11" ht="12.75">
      <c r="A21" s="223" t="s">
        <v>159</v>
      </c>
      <c r="B21" s="239"/>
      <c r="C21" s="239"/>
      <c r="D21" s="239"/>
      <c r="E21" s="239"/>
      <c r="F21" s="239"/>
      <c r="G21" s="239"/>
      <c r="H21" s="239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7">
        <v>27782075</v>
      </c>
      <c r="K22" s="7">
        <v>39088456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>
        <v>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/>
      <c r="K24" s="7">
        <v>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/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0</v>
      </c>
      <c r="K26" s="7">
        <v>0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50">
        <f>SUM(J22:J26)</f>
        <v>27782075</v>
      </c>
      <c r="K27" s="50">
        <f>SUM(K22:K26)</f>
        <v>39088456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/>
      <c r="K28" s="7">
        <v>0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>
        <v>0</v>
      </c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50">
        <f>IF(J27&gt;J31,J27-J31,0)</f>
        <v>27782075</v>
      </c>
      <c r="K32" s="50">
        <f>IF(K27&gt;K31,K27-K31,0)</f>
        <v>39088456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23" t="s">
        <v>160</v>
      </c>
      <c r="B34" s="239"/>
      <c r="C34" s="239"/>
      <c r="D34" s="239"/>
      <c r="E34" s="239"/>
      <c r="F34" s="239"/>
      <c r="G34" s="239"/>
      <c r="H34" s="239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2900000</v>
      </c>
      <c r="K36" s="7">
        <v>0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>
        <v>0</v>
      </c>
      <c r="K37" s="7">
        <v>0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50">
        <f>SUM(J35:J37)</f>
        <v>2900000</v>
      </c>
      <c r="K38" s="50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18812371</v>
      </c>
      <c r="K39" s="7">
        <v>26826282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>
        <v>0</v>
      </c>
      <c r="K40" s="7">
        <v>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>
        <v>54694</v>
      </c>
      <c r="K41" s="7">
        <v>0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>
        <v>0</v>
      </c>
      <c r="K42" s="7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/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50">
        <f>SUM(J39:J43)</f>
        <v>18867065</v>
      </c>
      <c r="K44" s="50">
        <f>SUM(K39:K43)</f>
        <v>26826282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50">
        <f>IF(J44&gt;J38,J44-J38,0)</f>
        <v>15967065</v>
      </c>
      <c r="K46" s="50">
        <f>IF(K44&gt;K38,K44-K38,0)</f>
        <v>26826282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0">
        <f>IF(J20-J19+J33-J32+J46-J45&gt;0,J20-J19+J33-J32+J46-J45,0)</f>
        <v>495732</v>
      </c>
      <c r="K48" s="50">
        <f>IF(K20-K19+K33-K32+K46-K45&gt;0,K20-K19+K33-K32+K46-K45,0)</f>
        <v>5617663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38562940</v>
      </c>
      <c r="K49" s="7">
        <v>42775982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/>
      <c r="K50" s="7"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v>495732</v>
      </c>
      <c r="K51" s="7">
        <v>5617663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58">
        <f>J49+J50-J51</f>
        <v>38067208</v>
      </c>
      <c r="K52" s="58">
        <f>Bilanca!K64</f>
        <v>37158319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317</v>
      </c>
      <c r="K4" s="64" t="s">
        <v>318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9">
        <v>2</v>
      </c>
      <c r="J5" s="70" t="s">
        <v>282</v>
      </c>
      <c r="K5" s="70" t="s">
        <v>283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4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3" t="s">
        <v>159</v>
      </c>
      <c r="B22" s="239"/>
      <c r="C22" s="239"/>
      <c r="D22" s="239"/>
      <c r="E22" s="239"/>
      <c r="F22" s="239"/>
      <c r="G22" s="239"/>
      <c r="H22" s="239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319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320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3" t="s">
        <v>160</v>
      </c>
      <c r="B35" s="239"/>
      <c r="C35" s="239"/>
      <c r="D35" s="239"/>
      <c r="E35" s="239"/>
      <c r="F35" s="239"/>
      <c r="G35" s="239"/>
      <c r="H35" s="239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2"/>
    </row>
    <row r="2" spans="1:12" ht="15.75">
      <c r="A2" s="39"/>
      <c r="B2" s="71"/>
      <c r="C2" s="293" t="s">
        <v>281</v>
      </c>
      <c r="D2" s="293"/>
      <c r="E2" s="74" t="s">
        <v>352</v>
      </c>
      <c r="F2" s="40" t="s">
        <v>250</v>
      </c>
      <c r="G2" s="294" t="s">
        <v>361</v>
      </c>
      <c r="H2" s="295"/>
      <c r="I2" s="71"/>
      <c r="J2" s="71"/>
      <c r="K2" s="71"/>
      <c r="L2" s="75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8" t="s">
        <v>304</v>
      </c>
      <c r="J3" s="79" t="s">
        <v>150</v>
      </c>
      <c r="K3" s="79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1">
        <v>2</v>
      </c>
      <c r="J4" s="80" t="s">
        <v>282</v>
      </c>
      <c r="K4" s="80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1">
        <v>1</v>
      </c>
      <c r="J5" s="42">
        <v>231845600</v>
      </c>
      <c r="K5" s="42">
        <v>231845600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1">
        <v>2</v>
      </c>
      <c r="J6" s="43">
        <v>14715887</v>
      </c>
      <c r="K6" s="43">
        <v>14715887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1">
        <v>3</v>
      </c>
      <c r="J7" s="43">
        <v>24302</v>
      </c>
      <c r="K7" s="43">
        <v>24302</v>
      </c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1">
        <v>4</v>
      </c>
      <c r="J8" s="43">
        <v>51834535</v>
      </c>
      <c r="K8" s="43">
        <v>-58975264</v>
      </c>
    </row>
    <row r="9" spans="1:11" ht="12.75">
      <c r="A9" s="285" t="s">
        <v>288</v>
      </c>
      <c r="B9" s="286"/>
      <c r="C9" s="286"/>
      <c r="D9" s="286"/>
      <c r="E9" s="286"/>
      <c r="F9" s="286"/>
      <c r="G9" s="286"/>
      <c r="H9" s="286"/>
      <c r="I9" s="41">
        <v>5</v>
      </c>
      <c r="J9" s="43">
        <v>-24900666</v>
      </c>
      <c r="K9" s="43">
        <v>-71038879</v>
      </c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1">
        <v>6</v>
      </c>
      <c r="J10" s="43">
        <v>0</v>
      </c>
      <c r="K10" s="43">
        <v>0</v>
      </c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1">
        <v>7</v>
      </c>
      <c r="J11" s="43">
        <v>0</v>
      </c>
      <c r="K11" s="43">
        <v>0</v>
      </c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1">
        <v>8</v>
      </c>
      <c r="J12" s="43">
        <v>0</v>
      </c>
      <c r="K12" s="43">
        <v>0</v>
      </c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1">
        <v>9</v>
      </c>
      <c r="J13" s="43">
        <v>0</v>
      </c>
      <c r="K13" s="43">
        <v>0</v>
      </c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1">
        <v>10</v>
      </c>
      <c r="J14" s="76">
        <f>SUM(J5:J13)</f>
        <v>273519658</v>
      </c>
      <c r="K14" s="76">
        <f>SUM(K5:K13)</f>
        <v>116571646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1">
        <v>11</v>
      </c>
      <c r="J15" s="43">
        <v>0</v>
      </c>
      <c r="K15" s="43">
        <v>0</v>
      </c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1">
        <v>12</v>
      </c>
      <c r="J16" s="43">
        <v>0</v>
      </c>
      <c r="K16" s="43">
        <v>0</v>
      </c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1">
        <v>13</v>
      </c>
      <c r="J17" s="43">
        <v>0</v>
      </c>
      <c r="K17" s="43">
        <v>0</v>
      </c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1">
        <v>14</v>
      </c>
      <c r="J18" s="43">
        <v>0</v>
      </c>
      <c r="K18" s="43">
        <v>0</v>
      </c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1">
        <v>15</v>
      </c>
      <c r="J19" s="43">
        <v>0</v>
      </c>
      <c r="K19" s="43">
        <v>0</v>
      </c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1">
        <v>16</v>
      </c>
      <c r="J20" s="43">
        <v>-63522808</v>
      </c>
      <c r="K20" s="43">
        <f>K14-J14</f>
        <v>-156948012</v>
      </c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1">
        <v>17</v>
      </c>
      <c r="J21" s="77">
        <f>SUM(J15:J20)</f>
        <v>-63522808</v>
      </c>
      <c r="K21" s="77">
        <f>SUM(K15:K20)</f>
        <v>-156948012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4">
        <v>18</v>
      </c>
      <c r="J23" s="42">
        <v>-26736605</v>
      </c>
      <c r="K23" s="42">
        <v>-94026820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5">
        <v>19</v>
      </c>
      <c r="J24" s="77">
        <v>-36786203</v>
      </c>
      <c r="K24" s="77">
        <v>-62921192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view="pageBreakPreview" zoomScale="110" zoomScaleSheetLayoutView="110" zoomScalePageLayoutView="0" workbookViewId="0" topLeftCell="A1">
      <selection activeCell="A14" sqref="A14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7" t="s">
        <v>364</v>
      </c>
    </row>
    <row r="3" ht="12.75">
      <c r="A3" s="124"/>
    </row>
    <row r="5" ht="12.75">
      <c r="A5" s="125"/>
    </row>
    <row r="6" ht="12.75">
      <c r="A6" s="125"/>
    </row>
    <row r="7" ht="15">
      <c r="A7" s="126" t="s">
        <v>339</v>
      </c>
    </row>
    <row r="8" ht="15">
      <c r="A8" s="126"/>
    </row>
    <row r="9" ht="15">
      <c r="A9" s="126" t="s">
        <v>340</v>
      </c>
    </row>
    <row r="10" ht="15">
      <c r="A10" s="126"/>
    </row>
    <row r="11" ht="15">
      <c r="A11" s="126" t="s">
        <v>341</v>
      </c>
    </row>
    <row r="12" ht="15">
      <c r="A12" s="126"/>
    </row>
    <row r="13" ht="15">
      <c r="A13" s="126" t="s">
        <v>342</v>
      </c>
    </row>
    <row r="14" ht="15">
      <c r="A14" s="126"/>
    </row>
    <row r="15" ht="15">
      <c r="A15" s="126" t="s">
        <v>343</v>
      </c>
    </row>
    <row r="16" ht="15">
      <c r="A16" s="126"/>
    </row>
    <row r="17" ht="15">
      <c r="A17" s="126" t="s">
        <v>344</v>
      </c>
    </row>
    <row r="18" ht="15">
      <c r="A18" s="126" t="s">
        <v>360</v>
      </c>
    </row>
    <row r="19" ht="15">
      <c r="A19" s="126"/>
    </row>
    <row r="20" ht="15">
      <c r="A20" s="129" t="s">
        <v>365</v>
      </c>
    </row>
    <row r="21" s="130" customFormat="1" ht="15">
      <c r="A21" s="129" t="s">
        <v>366</v>
      </c>
    </row>
    <row r="22" ht="15">
      <c r="A22" s="129" t="s">
        <v>367</v>
      </c>
    </row>
    <row r="23" ht="15">
      <c r="A23" s="126"/>
    </row>
    <row r="24" ht="15">
      <c r="A24" s="126" t="s">
        <v>345</v>
      </c>
    </row>
    <row r="25" ht="15">
      <c r="A25" s="126"/>
    </row>
    <row r="26" ht="15">
      <c r="A26" s="126" t="s">
        <v>346</v>
      </c>
    </row>
    <row r="27" ht="15">
      <c r="A27" s="126"/>
    </row>
    <row r="28" ht="15">
      <c r="A28" s="126" t="s">
        <v>347</v>
      </c>
    </row>
    <row r="29" ht="15">
      <c r="A29" s="126"/>
    </row>
    <row r="30" ht="15">
      <c r="A30" s="126"/>
    </row>
    <row r="31" ht="15">
      <c r="A31" s="126" t="s">
        <v>348</v>
      </c>
    </row>
    <row r="32" ht="15">
      <c r="A32" s="126"/>
    </row>
    <row r="33" ht="15">
      <c r="A33" s="126" t="s">
        <v>349</v>
      </c>
    </row>
    <row r="34" ht="15">
      <c r="A34" s="126"/>
    </row>
    <row r="35" ht="15">
      <c r="A35" s="126" t="s">
        <v>350</v>
      </c>
    </row>
    <row r="36" ht="15">
      <c r="A36" s="126"/>
    </row>
    <row r="37" ht="15">
      <c r="A37" s="126" t="s">
        <v>351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Losinj</cp:lastModifiedBy>
  <cp:lastPrinted>2013-04-30T11:14:23Z</cp:lastPrinted>
  <dcterms:created xsi:type="dcterms:W3CDTF">2008-10-17T11:51:54Z</dcterms:created>
  <dcterms:modified xsi:type="dcterms:W3CDTF">2013-07-30T12:40:56Z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