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<sst xmlns="http://schemas.openxmlformats.org/spreadsheetml/2006/main" count="412" uniqueCount="359">
  <si>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</si>
  <si>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</si>
  <si>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</si>
  <si>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</si>
  <si>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</si>
  <si>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</si>
  <si>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</si>
  <si>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</si>
  <si>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</si>
  <si>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</si>
  <si>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</si>
  <si>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</si>
  <si>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</si>
  <si>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</si>
  <si>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</si>
  <si>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</si>
  <si>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</si>
  <si>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</si>
  <si>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</si>
  <si>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</si>
  <si>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</si>
  <si>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</si>
  <si>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</si>
  <si>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</si>
  <si>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</si>
  <si>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</si>
  <si>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</si>
  <si>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</si>
  <si>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</si>
  <si>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</si>
  <si>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</si>
  <si>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</si>
  <si>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</si>
  <si>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</si>
  <si>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</si>
  <si>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</si>
  <si>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</si>
  <si>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</si>
  <si>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</si>
  <si>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</si>
  <si>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</si>
  <si>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</si>
  <si>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</si>
  <si>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</si>
  <si>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</si>
  <si>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</si>
  <si>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</si>
  <si>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</si>
  <si>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</si>
  <si>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</si>
  <si>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</si>
  <si>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</si>
  <si>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</si>
  <si>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</si>
  <si>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</si>
  <si>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</si>
  <si>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</si>
  <si>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</si>
  <si>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</si>
  <si>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</si>
  <si>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</si>
  <si>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</si>
  <si>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</si>
  <si>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</si>
  <si>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</si>
  <si>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</si>
  <si>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</si>
  <si>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</si>
  <si>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</si>
  <si>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</si>
  <si>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</si>
  <si>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</si>
  <si>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</si>
  <si>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</si>
  <si>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</si>
  <si>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</si>
  <si>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</si>
  <si>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</si>
  <si>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</si>
  <si>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</si>
  <si>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</si>
  <si>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</si>
  <si>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</si>
  <si>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</si>
  <si>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</si>
  <si>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</si>
  <si>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</si>
  <si>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</si>
  <si>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</si>
  <si>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</si>
  <si>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</si>
  <si>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</si>
  <si>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</si>
  <si>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</si>
  <si>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</si>
  <si>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</si>
  <si>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</si>
  <si>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</si>
  <si>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</si>
  <si>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</si>
  <si>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</si>
  <si>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</si>
  <si>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</si>
  <si>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</si>
  <si>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</si>
  <si>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</si>
  <si>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</si>
  <si>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</si>
  <si>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</si>
  <si>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</si>
  <si>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</si>
  <si>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</si>
  <si>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</si>
  <si>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</si>
  <si>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</si>
  <si>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</si>
  <si>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</si>
  <si>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</si>
  <si>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</si>
  <si>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</si>
  <si>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</si>
  <si>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</si>
  <si>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</si>
  <si>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</si>
  <si>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</si>
  <si>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</si>
  <si>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</si>
  <si>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</si>
  <si>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</si>
  <si>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</si>
  <si>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</si>
  <si>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</si>
  <si>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</si>
  <si>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</si>
  <si>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</si>
  <si>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</si>
  <si>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</si>
  <si>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</si>
  <si>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</si>
  <si>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</si>
  <si>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</si>
  <si>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</si>
  <si>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</si>
  <si>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</si>
  <si>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</si>
  <si>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</si>
  <si>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</si>
  <si>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</si>
  <si>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</si>
  <si>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</si>
  <si>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</si>
  <si>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</si>
  <si>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</si>
  <si>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</si>
  <si>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</si>
  <si>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</si>
  <si>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</si>
  <si>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</si>
  <si>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</si>
  <si>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</si>
  <si>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</si>
  <si>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</si>
  <si>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</si>
  <si>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</si>
  <si>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</si>
  <si>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</si>
  <si>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</si>
  <si>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</si>
  <si>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</si>
  <si>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</si>
  <si>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</si>
  <si>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</si>
  <si>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</si>
  <si>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</si>
  <si>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</si>
  <si>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</si>
  <si>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</si>
  <si>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</si>
  <si>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</si>
  <si>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</si>
  <si>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</si>
  <si>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</si>
  <si>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</si>
  <si>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</si>
  <si>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</si>
  <si>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</si>
  <si>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</si>
  <si>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</si>
  <si>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</si>
  <si>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</si>
  <si>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</si>
  <si>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</si>
  <si>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</si>
  <si>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</si>
  <si>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</si>
  <si>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</si>
  <si>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</si>
  <si>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</si>
  <si>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</si>
  <si>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</si>
  <si>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</si>
  <si>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</si>
  <si>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</si>
  <si>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</si>
  <si>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</si>
  <si>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</si>
  <si>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</si>
  <si>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</si>
  <si>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</si>
  <si>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</si>
  <si>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</si>
  <si>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</si>
  <si>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</si>
  <si>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</si>
  <si>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</si>
  <si>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</si>
  <si>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</si>
  <si>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</si>
  <si>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</si>
  <si>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</si>
  <si>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</si>
  <si>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</si>
  <si>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</si>
  <si>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</si>
  <si>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</si>
  <si>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</si>
  <si>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</si>
  <si>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</si>
  <si>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</si>
  <si>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</si>
  <si>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</si>
  <si>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</si>
  <si>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</si>
  <si>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</si>
  <si>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</si>
  <si>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</si>
  <si>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</si>
  <si>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</si>
  <si>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</si>
  <si>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</si>
  <si>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</si>
  <si>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</si>
  <si>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</si>
  <si>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</si>
  <si>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</si>
  <si>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</si>
  <si>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</si>
  <si>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</si>
  <si>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</si>
  <si>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</si>
  <si>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</si>
  <si>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</si>
  <si>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</si>
  <si>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</si>
  <si>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</si>
  <si>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</si>
  <si>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</si>
  <si>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</si>
  <si>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</si>
  <si>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</si>
  <si>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</si>
  <si>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</si>
  <si>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</si>
  <si>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</si>
  <si>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</si>
  <si>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</si>
  <si>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</si>
  <si>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</si>
  <si>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</si>
  <si>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</si>
  <si>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</si>
  <si>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</si>
  <si>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</si>
  <si>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</si>
  <si>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</si>
  <si>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</si>
  <si>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</si>
  <si>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</si>
  <si>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</si>
  <si>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</si>
  <si>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</si>
  <si>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</si>
  <si>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</si>
  <si>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</si>
  <si>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</si>
  <si>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</si>
  <si>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</si>
  <si>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</si>
  <si>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</si>
  <si>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</si>
  <si>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</si>
  <si>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</si>
  <si>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</si>
  <si>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</si>
  <si>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</si>
  <si>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</si>
  <si>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</si>
  <si>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</si>
  <si>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</si>
  <si>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</si>
  <si>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</si>
  <si>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</si>
  <si>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</si>
  <si>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</si>
  <si>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</si>
  <si>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</si>
  <si>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</si>
  <si>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</si>
  <si>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</si>
  <si>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</si>
  <si>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</si>
  <si>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</si>
  <si>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</si>
  <si>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</si>
  <si>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</si>
  <si>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</si>
  <si>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</si>
  <si>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</si>
  <si>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</si>
  <si>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</si>
  <si>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</si>
  <si>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</si>
  <si>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</si>
  <si>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</si>
  <si>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03326411</t>
  </si>
  <si>
    <t>050017312</t>
  </si>
  <si>
    <t>21918659912</t>
  </si>
  <si>
    <t>KUTJEVO d.d.</t>
  </si>
  <si>
    <t>KUTJEVO</t>
  </si>
  <si>
    <t>KRALJA TOMISLAVA 1</t>
  </si>
  <si>
    <t>kutjevo@kutjevo.com</t>
  </si>
  <si>
    <t>www.kutjevo.com</t>
  </si>
  <si>
    <t>POŽEŠKO-SLAVONSKA</t>
  </si>
  <si>
    <t>RAZUMOVIĆ MILAN</t>
  </si>
  <si>
    <t>034255002</t>
  </si>
  <si>
    <t>034255026</t>
  </si>
  <si>
    <t>milan.razumovic@kutjevo.com</t>
  </si>
  <si>
    <t>DA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</si>
  <si>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</si>
  <si>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</si>
  <si>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</si>
  <si>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</si>
  <si>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</si>
  <si>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</si>
  <si>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</si>
  <si>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</si>
  <si>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</si>
  <si>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</si>
  <si>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 d.o.o.</t>
  </si>
  <si>
    <t>VELIKA GORICA</t>
  </si>
  <si>
    <t>1641875</t>
  </si>
  <si>
    <t>ĐAKOVAČKA VINA d.d.</t>
  </si>
  <si>
    <t>DRENJE</t>
  </si>
  <si>
    <t>1297937</t>
  </si>
  <si>
    <t>Obveznik: KUTJEVO d.d.</t>
  </si>
  <si>
    <t>0111</t>
  </si>
  <si>
    <t>ITRAK MLADEN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</si>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</sst>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34340</v>
      </c>
      <c r="D14" s="164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331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221</v>
      </c>
      <c r="D22" s="139" t="s">
        <v>328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11</v>
      </c>
      <c r="D24" s="139" t="s">
        <v>332</v>
      </c>
      <c r="E24" s="158"/>
      <c r="F24" s="158"/>
      <c r="G24" s="159"/>
      <c r="H24" s="38" t="s">
        <v>270</v>
      </c>
      <c r="I24" s="48">
        <v>797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337</v>
      </c>
      <c r="D26" s="50"/>
      <c r="E26" s="22"/>
      <c r="F26" s="51"/>
      <c r="G26" s="125" t="s">
        <v>273</v>
      </c>
      <c r="H26" s="126"/>
      <c r="I26" s="52" t="s">
        <v>355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 t="s">
        <v>338</v>
      </c>
      <c r="B30" s="140"/>
      <c r="C30" s="140"/>
      <c r="D30" s="141"/>
      <c r="E30" s="146" t="s">
        <v>328</v>
      </c>
      <c r="F30" s="140"/>
      <c r="G30" s="140"/>
      <c r="H30" s="137" t="s">
        <v>339</v>
      </c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 t="s">
        <v>340</v>
      </c>
      <c r="B32" s="140"/>
      <c r="C32" s="140"/>
      <c r="D32" s="141"/>
      <c r="E32" s="146" t="s">
        <v>341</v>
      </c>
      <c r="F32" s="140"/>
      <c r="G32" s="140"/>
      <c r="H32" s="137" t="s">
        <v>342</v>
      </c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 t="s">
        <v>343</v>
      </c>
      <c r="B34" s="140"/>
      <c r="C34" s="140"/>
      <c r="D34" s="141"/>
      <c r="E34" s="146" t="s">
        <v>328</v>
      </c>
      <c r="F34" s="140"/>
      <c r="G34" s="140"/>
      <c r="H34" s="137" t="s">
        <v>344</v>
      </c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 t="s">
        <v>345</v>
      </c>
      <c r="B36" s="140"/>
      <c r="C36" s="140"/>
      <c r="D36" s="141"/>
      <c r="E36" s="146" t="s">
        <v>346</v>
      </c>
      <c r="F36" s="140"/>
      <c r="G36" s="140"/>
      <c r="H36" s="137" t="s">
        <v>347</v>
      </c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 t="s">
        <v>348</v>
      </c>
      <c r="B38" s="140"/>
      <c r="C38" s="140"/>
      <c r="D38" s="141"/>
      <c r="E38" s="146" t="s">
        <v>349</v>
      </c>
      <c r="F38" s="140"/>
      <c r="G38" s="140"/>
      <c r="H38" s="137" t="s">
        <v>350</v>
      </c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 t="s">
        <v>351</v>
      </c>
      <c r="B40" s="140"/>
      <c r="C40" s="140"/>
      <c r="D40" s="141"/>
      <c r="E40" s="146" t="s">
        <v>352</v>
      </c>
      <c r="F40" s="140"/>
      <c r="G40" s="140"/>
      <c r="H40" s="137" t="s">
        <v>353</v>
      </c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333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334</v>
      </c>
      <c r="D48" s="123"/>
      <c r="E48" s="124"/>
      <c r="F48" s="32"/>
      <c r="G48" s="38" t="s">
        <v>281</v>
      </c>
      <c r="H48" s="127" t="s">
        <v>335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336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356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0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:I40 C48 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workbookViewId="0" topLeftCell="A76">
      <selection activeCell="K121" sqref="K121"/>
    </sheetView>
  </sheetViews>
  <sheetFormatPr defaultColWidth="9.140625" defaultRowHeight="12.75"/>
  <cols>
    <col min="9" max="9" width="8.7109375" style="0" customWidth="1"/>
    <col min="10" max="10" width="11.7109375" style="0" customWidth="1"/>
    <col min="11" max="11" width="12.281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357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354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354475882</v>
      </c>
      <c r="K9" s="12">
        <f>K10+K17+K27+K36+K40</f>
        <v>327616021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/>
      <c r="K12" s="13"/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296485200</v>
      </c>
      <c r="K17" s="12">
        <f>SUM(K18:K26)</f>
        <v>274542725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37902499</v>
      </c>
      <c r="K18" s="13">
        <v>37915706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119297932</v>
      </c>
      <c r="K19" s="13">
        <v>115879823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44281616</v>
      </c>
      <c r="K20" s="13">
        <v>39296554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6112578</v>
      </c>
      <c r="K21" s="13">
        <v>4397240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>
        <v>48275884</v>
      </c>
      <c r="K22" s="13">
        <v>45032952</v>
      </c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40609963</v>
      </c>
      <c r="K24" s="13">
        <v>32015722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4728</v>
      </c>
      <c r="K25" s="13">
        <v>4728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28247964</v>
      </c>
      <c r="K27" s="12">
        <f>SUM(K28:K35)</f>
        <v>28199824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25949463</v>
      </c>
      <c r="K28" s="13">
        <v>25949463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2251926</v>
      </c>
      <c r="K30" s="13">
        <v>2214126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46575</v>
      </c>
      <c r="K33" s="13">
        <v>36235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29742718</v>
      </c>
      <c r="K36" s="12">
        <f>SUM(K37:K39)</f>
        <v>24873472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29742718</v>
      </c>
      <c r="K38" s="13">
        <v>24873472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315310376</v>
      </c>
      <c r="K41" s="12">
        <f>K42+K50+K57+K65</f>
        <v>302726850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195447328</v>
      </c>
      <c r="K42" s="12">
        <f>SUM(K43:K49)</f>
        <v>190928260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12940221</v>
      </c>
      <c r="K43" s="13">
        <v>11602885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141388965</v>
      </c>
      <c r="K44" s="13">
        <v>131289052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30956513</v>
      </c>
      <c r="K45" s="13">
        <v>36292417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9810760</v>
      </c>
      <c r="K46" s="13">
        <v>11393037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350869</v>
      </c>
      <c r="K47" s="13">
        <v>350869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105277311</v>
      </c>
      <c r="K50" s="12">
        <f>SUM(K51:K56)</f>
        <v>98499527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78688111</v>
      </c>
      <c r="K52" s="13">
        <v>71587591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701045</v>
      </c>
      <c r="K54" s="13">
        <v>522101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25834679</v>
      </c>
      <c r="K55" s="13">
        <v>26310936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53476</v>
      </c>
      <c r="K56" s="13">
        <v>78899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13012652</v>
      </c>
      <c r="K57" s="12">
        <f>SUM(K58:K64)</f>
        <v>12803209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/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89742</v>
      </c>
      <c r="K62" s="13">
        <v>60336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12893372</v>
      </c>
      <c r="K63" s="13">
        <v>12742873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29538</v>
      </c>
      <c r="K64" s="13"/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1573085</v>
      </c>
      <c r="K65" s="13">
        <v>495854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2568061</v>
      </c>
      <c r="K66" s="13">
        <v>1361015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672354319</v>
      </c>
      <c r="K67" s="12">
        <f>K8+K9+K41+K66</f>
        <v>631703886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7">
        <v>61</v>
      </c>
      <c r="J68" s="14">
        <v>61514387</v>
      </c>
      <c r="K68" s="14">
        <v>80702767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311584019</v>
      </c>
      <c r="K70" s="20">
        <f>K71+K72+K73+K79+K80+K83+K86</f>
        <v>316959913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286321450</v>
      </c>
      <c r="K71" s="13">
        <v>286321450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/>
      <c r="K72" s="13"/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7404550</v>
      </c>
      <c r="K73" s="12">
        <f>K74+K75-K76+K77+K78</f>
        <v>159042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5149898</v>
      </c>
      <c r="K74" s="13">
        <v>159042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8700</v>
      </c>
      <c r="K75" s="13">
        <v>8700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8700</v>
      </c>
      <c r="K76" s="13">
        <v>8700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2254652</v>
      </c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16417843</v>
      </c>
      <c r="K79" s="13">
        <v>15347468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6803686</v>
      </c>
      <c r="K80" s="12">
        <f>K81-K82</f>
        <v>-5721535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6803686</v>
      </c>
      <c r="K81" s="13"/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>
        <v>5721535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-19770654</v>
      </c>
      <c r="K83" s="12">
        <f>K84-K85</f>
        <v>6747397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>
        <v>6747397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19770654</v>
      </c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>
        <v>14407144</v>
      </c>
      <c r="K86" s="13">
        <v>14106091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166076496</v>
      </c>
      <c r="K91" s="12">
        <f>SUM(K92:K100)</f>
        <v>160090097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12718091</v>
      </c>
      <c r="K93" s="13">
        <v>11097228</v>
      </c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135076593</v>
      </c>
      <c r="K94" s="13">
        <v>138612097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18281812</v>
      </c>
      <c r="K99" s="13">
        <v>10380772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194112115</v>
      </c>
      <c r="K101" s="12">
        <f>SUM(K102:K113)</f>
        <v>154168180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10339641</v>
      </c>
      <c r="K103" s="13"/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95707029</v>
      </c>
      <c r="K104" s="13">
        <v>68824264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14010</v>
      </c>
      <c r="K105" s="13">
        <v>10720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68949171</v>
      </c>
      <c r="K106" s="13">
        <v>67401538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804</v>
      </c>
      <c r="K107" s="13">
        <v>804</v>
      </c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6269273</v>
      </c>
      <c r="K109" s="13">
        <v>7498282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12798404</v>
      </c>
      <c r="K110" s="13">
        <v>10398789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33783</v>
      </c>
      <c r="K113" s="13">
        <v>33783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543889</v>
      </c>
      <c r="K114" s="13">
        <v>485696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672316519</v>
      </c>
      <c r="K115" s="12">
        <f>K70+K87+K91+K101+K114</f>
        <v>631703886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61514387</v>
      </c>
      <c r="K116" s="14">
        <v>80702767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>
        <v>297176855</v>
      </c>
      <c r="K119" s="13">
        <v>302853822</v>
      </c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>
        <v>14407144</v>
      </c>
      <c r="K120" s="14">
        <v>14106091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  <ignoredErrors>
    <ignoredError sqref="J57:K57 J101: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workbookViewId="0" topLeftCell="A31">
      <selection activeCell="K33" sqref="K33"/>
    </sheetView>
  </sheetViews>
  <sheetFormatPr defaultColWidth="9.140625" defaultRowHeight="12.75"/>
  <cols>
    <col min="8" max="8" width="7.7109375" style="0" customWidth="1"/>
    <col min="9" max="9" width="8.57421875" style="0" customWidth="1"/>
    <col min="10" max="11" width="11.8515625" style="0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358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354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416190118</v>
      </c>
      <c r="K7" s="20">
        <f>SUM(K8:K9)</f>
        <v>353789651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388132354</v>
      </c>
      <c r="K8" s="13">
        <v>326144594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28057764</v>
      </c>
      <c r="K9" s="13">
        <v>27645057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417352622</v>
      </c>
      <c r="K10" s="12">
        <f>K11+K12+K16+K20+K21+K22+K25+K26</f>
        <v>340491918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40027854</v>
      </c>
      <c r="K11" s="13">
        <v>5045942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255291650</v>
      </c>
      <c r="K12" s="12">
        <f>SUM(K13:K15)</f>
        <v>226436390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164633025</v>
      </c>
      <c r="K13" s="13">
        <v>132620344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47075033</v>
      </c>
      <c r="K14" s="13">
        <v>58628348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43583592</v>
      </c>
      <c r="K15" s="13">
        <v>35187698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68553353</v>
      </c>
      <c r="K16" s="12">
        <f>SUM(K17:K19)</f>
        <v>65487322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43934532</v>
      </c>
      <c r="K17" s="13">
        <v>42240173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15218199</v>
      </c>
      <c r="K18" s="13">
        <v>14574003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9400622</v>
      </c>
      <c r="K19" s="13">
        <v>8673146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21146012</v>
      </c>
      <c r="K20" s="13">
        <v>20103074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22006123</v>
      </c>
      <c r="K21" s="13">
        <v>20306235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4174682</v>
      </c>
      <c r="K22" s="12">
        <f>SUM(K23:K24)</f>
        <v>1209365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4174682</v>
      </c>
      <c r="K24" s="13">
        <v>1209365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6152948</v>
      </c>
      <c r="K26" s="13">
        <v>1903590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3811432</v>
      </c>
      <c r="K27" s="12">
        <f>SUM(K28:K32)</f>
        <v>12570043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3745948</v>
      </c>
      <c r="K29" s="13">
        <v>12539176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19800</v>
      </c>
      <c r="K31" s="13">
        <v>26898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45684</v>
      </c>
      <c r="K32" s="13">
        <v>3969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22340624</v>
      </c>
      <c r="K33" s="12">
        <f>SUM(K34:K37)</f>
        <v>18922559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21155604</v>
      </c>
      <c r="K35" s="13">
        <v>18089169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1185020</v>
      </c>
      <c r="K37" s="13">
        <v>833390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420001550</v>
      </c>
      <c r="K42" s="12">
        <f>K7+K27+K38+K40</f>
        <v>366359694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439693246</v>
      </c>
      <c r="K43" s="12">
        <f>K10+K33+K39+K41</f>
        <v>359414477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-19691696</v>
      </c>
      <c r="K44" s="12">
        <f>K42-K43</f>
        <v>6945217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6945217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19691696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78507</v>
      </c>
      <c r="K47" s="13">
        <v>189543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-19770203</v>
      </c>
      <c r="K48" s="12">
        <f>K44-K47</f>
        <v>6755674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6755674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7">
        <v>154</v>
      </c>
      <c r="J50" s="18">
        <f>IF(J48&lt;0,-J48,0)</f>
        <v>19770203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>
        <v>-17770654</v>
      </c>
      <c r="K53" s="13">
        <v>6747397</v>
      </c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>
        <v>451</v>
      </c>
      <c r="K54" s="14">
        <v>8277</v>
      </c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f>J48</f>
        <v>-19770203</v>
      </c>
      <c r="K56" s="11">
        <f>K48</f>
        <v>6755674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-19770203</v>
      </c>
      <c r="K67" s="18">
        <f>K56+K66</f>
        <v>6755674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>
        <v>-19770654</v>
      </c>
      <c r="K70" s="13">
        <v>6747397</v>
      </c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>
        <v>451</v>
      </c>
      <c r="K71" s="14">
        <v>8277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6:K16" formulaRange="1"/>
    <ignoredError sqref="J56:K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workbookViewId="0" topLeftCell="A1">
      <selection activeCell="O12" sqref="O12"/>
    </sheetView>
  </sheetViews>
  <sheetFormatPr defaultColWidth="9.140625" defaultRowHeight="12.75"/>
  <cols>
    <col min="8" max="8" width="8.00390625" style="0" customWidth="1"/>
    <col min="10" max="11" width="11.00390625" style="0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358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354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-19691696</v>
      </c>
      <c r="K8" s="13">
        <v>6945217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21146012</v>
      </c>
      <c r="K9" s="13">
        <v>20103074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9958977</v>
      </c>
      <c r="K11" s="13">
        <v>7984830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40364231</v>
      </c>
      <c r="K12" s="13">
        <v>4519068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51777524</v>
      </c>
      <c r="K14" s="12">
        <f>SUM(K8:K13)</f>
        <v>39552189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48133789</v>
      </c>
      <c r="K15" s="13">
        <v>40002128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48133789</v>
      </c>
      <c r="K19" s="12">
        <f>SUM(K15:K18)</f>
        <v>40002128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3643735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449939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1332458</v>
      </c>
      <c r="K23" s="13">
        <v>541623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7635147</v>
      </c>
      <c r="K24" s="13">
        <v>5089029</v>
      </c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8967605</v>
      </c>
      <c r="K28" s="12">
        <f>SUM(K23:K27)</f>
        <v>5630652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10887508</v>
      </c>
      <c r="K29" s="13">
        <v>7973813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10887508</v>
      </c>
      <c r="K32" s="12">
        <f>SUM(K29:K31)</f>
        <v>7973813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1919903</v>
      </c>
      <c r="K34" s="12">
        <f>IF(K32&gt;K28,K32-K28,0)</f>
        <v>2343161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11627321</v>
      </c>
      <c r="K38" s="13">
        <v>7702268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11627321</v>
      </c>
      <c r="K39" s="12">
        <f>SUM(K36:K38)</f>
        <v>7702268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10879885</v>
      </c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1478224</v>
      </c>
      <c r="K44" s="13">
        <v>5986399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12358109</v>
      </c>
      <c r="K45" s="12">
        <f>SUM(K40:K44)</f>
        <v>5986399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1715869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730788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993044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1077231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580041</v>
      </c>
      <c r="K50" s="13">
        <v>1573085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993044</v>
      </c>
      <c r="K51" s="13"/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>
        <v>1077231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1573085</v>
      </c>
      <c r="K53" s="18">
        <f>K50+K51-K52</f>
        <v>495854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1" width="9.140625" style="98" customWidth="1"/>
    <col min="2" max="2" width="4.421875" style="98" customWidth="1"/>
    <col min="3" max="3" width="5.421875" style="98" customWidth="1"/>
    <col min="4" max="4" width="9.140625" style="98" customWidth="1"/>
    <col min="5" max="5" width="10.140625" style="98" bestFit="1" customWidth="1"/>
    <col min="6" max="6" width="7.57421875" style="98" customWidth="1"/>
    <col min="7" max="7" width="7.00390625" style="98" customWidth="1"/>
    <col min="8" max="8" width="5.140625" style="98" customWidth="1"/>
    <col min="9" max="9" width="8.7109375" style="98" customWidth="1"/>
    <col min="10" max="11" width="9.57421875" style="98" bestFit="1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41275</v>
      </c>
      <c r="F2" s="99" t="s">
        <v>258</v>
      </c>
      <c r="G2" s="274">
        <v>41639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286321450</v>
      </c>
      <c r="K5" s="107">
        <v>286321450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/>
      <c r="K6" s="108"/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7404550</v>
      </c>
      <c r="K7" s="108">
        <v>159042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6803686</v>
      </c>
      <c r="K8" s="108">
        <v>-5721535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-19770654</v>
      </c>
      <c r="K9" s="108">
        <v>6747397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16417843</v>
      </c>
      <c r="K10" s="108">
        <v>15347468</v>
      </c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297176875</v>
      </c>
      <c r="K14" s="109">
        <f>SUM(K5:K13)</f>
        <v>302853822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>
        <v>297176875</v>
      </c>
      <c r="K23" s="107">
        <v>302853822</v>
      </c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>
        <v>14407144</v>
      </c>
      <c r="K24" s="110">
        <v>14106091</v>
      </c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Ivica Matokovic</cp:lastModifiedBy>
  <cp:lastPrinted>2014-02-19T09:04:29Z</cp:lastPrinted>
  <dcterms:created xsi:type="dcterms:W3CDTF">2008-10-17T11:51:54Z</dcterms:created>
  <dcterms:modified xsi:type="dcterms:W3CDTF">2014-02-19T09:16:24Z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