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<sst xmlns="http://schemas.openxmlformats.org/spreadsheetml/2006/main" count="397" uniqueCount="347">
  <si>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</si>
  <si>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</si>
  <si>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</si>
  <si>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</si>
  <si>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</si>
  <si>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</si>
  <si>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</si>
  <si>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</si>
  <si>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</si>
  <si>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</si>
  <si>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</si>
  <si>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</si>
  <si>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</si>
  <si>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</si>
  <si>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</si>
  <si>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</si>
  <si>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</si>
  <si>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</si>
  <si>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</si>
  <si>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</si>
  <si>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</si>
  <si>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</si>
  <si>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</si>
  <si>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</si>
  <si>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</si>
  <si>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</si>
  <si>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</si>
  <si>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</si>
  <si>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</si>
  <si>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</si>
  <si>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</si>
  <si>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</si>
  <si>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</si>
  <si>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</si>
  <si>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</si>
  <si>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</si>
  <si>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</si>
  <si>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</si>
  <si>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</si>
  <si>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</si>
  <si>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</si>
  <si>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</si>
  <si>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</si>
  <si>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</si>
  <si>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</si>
  <si>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</si>
  <si>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</si>
  <si>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</si>
  <si>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</si>
  <si>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</si>
  <si>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</si>
  <si>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</si>
  <si>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</si>
  <si>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</si>
  <si>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</si>
  <si>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</si>
  <si>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</si>
  <si>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</si>
  <si>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</si>
  <si>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</si>
  <si>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</si>
  <si>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</si>
  <si>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</si>
  <si>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</si>
  <si>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</si>
  <si>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</si>
  <si>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</si>
  <si>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</si>
  <si>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</si>
  <si>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</si>
  <si>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</si>
  <si>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</si>
  <si>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</si>
  <si>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</si>
  <si>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</si>
  <si>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</si>
  <si>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</si>
  <si>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</si>
  <si>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</si>
  <si>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</si>
  <si>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</si>
  <si>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</si>
  <si>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</si>
  <si>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</si>
  <si>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</si>
  <si>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</si>
  <si>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</si>
  <si>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</si>
  <si>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</si>
  <si>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</si>
  <si>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</si>
  <si>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</si>
  <si>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</si>
  <si>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</si>
  <si>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</si>
  <si>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</si>
  <si>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</si>
  <si>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</si>
  <si>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</si>
  <si>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</si>
  <si>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</si>
  <si>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</si>
  <si>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</si>
  <si>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</si>
  <si>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</si>
  <si>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</si>
  <si>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</si>
  <si>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</si>
  <si>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</si>
  <si>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</si>
  <si>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</si>
  <si>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</si>
  <si>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</si>
  <si>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</si>
  <si>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</si>
  <si>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</si>
  <si>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</si>
  <si>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</si>
  <si>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</si>
  <si>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</si>
  <si>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</si>
  <si>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</si>
  <si>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</si>
  <si>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</si>
  <si>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</si>
  <si>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</si>
  <si>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</si>
  <si>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</si>
  <si>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</si>
  <si>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</si>
  <si>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</si>
  <si>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</si>
  <si>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</si>
  <si>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</si>
  <si>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</si>
  <si>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</si>
  <si>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</si>
  <si>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</si>
  <si>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</si>
  <si>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</si>
  <si>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</si>
  <si>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</si>
  <si>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</si>
  <si>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</si>
  <si>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</si>
  <si>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</si>
  <si>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</si>
  <si>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</si>
  <si>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</si>
  <si>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</si>
  <si>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</si>
  <si>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</si>
  <si>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</si>
  <si>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</si>
  <si>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</si>
  <si>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</si>
  <si>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</si>
  <si>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</si>
  <si>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</si>
  <si>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</si>
  <si>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</si>
  <si>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</si>
  <si>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</si>
  <si>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</si>
  <si>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</si>
  <si>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</si>
  <si>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</si>
  <si>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</si>
  <si>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</si>
  <si>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</si>
  <si>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</si>
  <si>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</si>
  <si>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</si>
  <si>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</si>
  <si>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</si>
  <si>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</si>
  <si>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</si>
  <si>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</si>
  <si>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</si>
  <si>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</si>
  <si>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</si>
  <si>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</si>
  <si>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</si>
  <si>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</si>
  <si>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</si>
  <si>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</si>
  <si>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</si>
  <si>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</si>
  <si>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</si>
  <si>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</si>
  <si>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</si>
  <si>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</si>
  <si>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</si>
  <si>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</si>
  <si>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</si>
  <si>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</si>
  <si>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</si>
  <si>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</si>
  <si>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</si>
  <si>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</si>
  <si>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</si>
  <si>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</si>
  <si>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</si>
  <si>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</si>
  <si>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</si>
  <si>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</si>
  <si>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</si>
  <si>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</si>
  <si>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</si>
  <si>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</si>
  <si>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</si>
  <si>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</si>
  <si>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</si>
  <si>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</si>
  <si>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</si>
  <si>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</si>
  <si>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</si>
  <si>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</si>
  <si>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</si>
  <si>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</si>
  <si>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</si>
  <si>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</si>
  <si>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</si>
  <si>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</si>
  <si>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</si>
  <si>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</si>
  <si>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</si>
  <si>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</si>
  <si>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</si>
  <si>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</si>
  <si>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</si>
  <si>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</si>
  <si>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</si>
  <si>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</si>
  <si>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</si>
  <si>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</si>
  <si>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</si>
  <si>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</si>
  <si>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</si>
  <si>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</si>
  <si>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</si>
  <si>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</si>
  <si>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</si>
  <si>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</si>
  <si>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</si>
  <si>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</si>
  <si>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</si>
  <si>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</si>
  <si>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</si>
  <si>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</si>
  <si>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</si>
  <si>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</si>
  <si>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</si>
  <si>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</si>
  <si>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</si>
  <si>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</si>
  <si>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</si>
  <si>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</si>
  <si>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</si>
  <si>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</si>
  <si>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</si>
  <si>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</si>
  <si>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</si>
  <si>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</si>
  <si>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</si>
  <si>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</si>
  <si>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</si>
  <si>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</si>
  <si>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</si>
  <si>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</si>
  <si>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</si>
  <si>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</si>
  <si>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</si>
  <si>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</si>
  <si>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</si>
  <si>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</si>
  <si>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</si>
  <si>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</si>
  <si>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</si>
  <si>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</si>
  <si>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</si>
  <si>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</si>
  <si>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</si>
  <si>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</si>
  <si>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</si>
  <si>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</si>
  <si>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</si>
  <si>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</si>
  <si>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</si>
  <si>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</si>
  <si>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</si>
  <si>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</si>
  <si>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</si>
  <si>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</si>
  <si>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</si>
  <si>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</si>
  <si>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</si>
  <si>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</si>
  <si>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</si>
  <si>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</si>
  <si>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</si>
  <si>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</si>
  <si>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</si>
  <si>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</si>
  <si>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</si>
  <si>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</si>
  <si>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</si>
  <si>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</si>
  <si>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</si>
  <si>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</si>
  <si>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</si>
  <si>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</si>
  <si>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</si>
  <si>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</si>
  <si>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</si>
  <si>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</si>
  <si>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</si>
  <si>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</si>
  <si>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</si>
  <si>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</si>
  <si>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</si>
  <si>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</si>
  <si>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</si>
  <si>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03334171</t>
  </si>
  <si>
    <t>080118427</t>
  </si>
  <si>
    <t>89018712265</t>
  </si>
  <si>
    <t>JADRANSKI  NAFTOVOD  DD</t>
  </si>
  <si>
    <t>ZAGREB</t>
  </si>
  <si>
    <t>MIRAMARSKA CESTA 24</t>
  </si>
  <si>
    <t>janaf@janaf.hr</t>
  </si>
  <si>
    <t>www.janaf.hr</t>
  </si>
  <si>
    <t>NE</t>
  </si>
  <si>
    <t>4950</t>
  </si>
  <si>
    <t>MIRJANA  MATAIJA</t>
  </si>
  <si>
    <t>013039369</t>
  </si>
  <si>
    <t>013039423</t>
  </si>
  <si>
    <t>mirjana.mataija@janaf.hr</t>
  </si>
  <si>
    <t>DRAGAN  KOVAČEVIĆ</t>
  </si>
  <si>
    <t>Obveznik:   JADRANSKI NAFTOVOD DD</t>
  </si>
  <si>
    <t>Obveznik:   JADRANSKI  NAFTOVOD DD</t>
  </si>
  <si>
    <t>Obveznik: JADRANSKI NAFTOVOD DD</t>
  </si>
  <si>
    <t>01.01.2018.</t>
  </si>
  <si>
    <t>1.1.2018.</t>
  </si>
  <si>
    <t>30.09.2018.</t>
  </si>
  <si>
    <t>stanje na dan  30.09.2018.</t>
  </si>
  <si>
    <t>u razdoblju  od  1.1.2018.  do  30.09.2018.</t>
  </si>
  <si>
    <t>u razdoblju od 1.1.2018. do  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</si>
</sst>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49" sqref="A49:H4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248</v>
      </c>
      <c r="B1" s="150"/>
      <c r="C1" s="15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7" t="s">
        <v>249</v>
      </c>
      <c r="B2" s="188"/>
      <c r="C2" s="188"/>
      <c r="D2" s="189"/>
      <c r="E2" s="118" t="s">
        <v>341</v>
      </c>
      <c r="F2" s="12"/>
      <c r="G2" s="13" t="s">
        <v>250</v>
      </c>
      <c r="H2" s="118" t="s">
        <v>343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90" t="s">
        <v>317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0" t="s">
        <v>251</v>
      </c>
      <c r="B6" s="141"/>
      <c r="C6" s="155" t="s">
        <v>323</v>
      </c>
      <c r="D6" s="15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3" t="s">
        <v>252</v>
      </c>
      <c r="B8" s="194"/>
      <c r="C8" s="155" t="s">
        <v>324</v>
      </c>
      <c r="D8" s="15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5" t="s">
        <v>253</v>
      </c>
      <c r="B10" s="185"/>
      <c r="C10" s="155" t="s">
        <v>325</v>
      </c>
      <c r="D10" s="15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0" t="s">
        <v>254</v>
      </c>
      <c r="B12" s="141"/>
      <c r="C12" s="157" t="s">
        <v>326</v>
      </c>
      <c r="D12" s="182"/>
      <c r="E12" s="182"/>
      <c r="F12" s="182"/>
      <c r="G12" s="182"/>
      <c r="H12" s="182"/>
      <c r="I12" s="14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0" t="s">
        <v>255</v>
      </c>
      <c r="B14" s="141"/>
      <c r="C14" s="183">
        <v>10000</v>
      </c>
      <c r="D14" s="184"/>
      <c r="E14" s="16"/>
      <c r="F14" s="157" t="s">
        <v>327</v>
      </c>
      <c r="G14" s="182"/>
      <c r="H14" s="182"/>
      <c r="I14" s="14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0" t="s">
        <v>256</v>
      </c>
      <c r="B16" s="141"/>
      <c r="C16" s="157" t="s">
        <v>328</v>
      </c>
      <c r="D16" s="182"/>
      <c r="E16" s="182"/>
      <c r="F16" s="182"/>
      <c r="G16" s="182"/>
      <c r="H16" s="182"/>
      <c r="I16" s="14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0" t="s">
        <v>257</v>
      </c>
      <c r="B18" s="141"/>
      <c r="C18" s="178" t="s">
        <v>329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0" t="s">
        <v>258</v>
      </c>
      <c r="B20" s="141"/>
      <c r="C20" s="178" t="s">
        <v>330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0" t="s">
        <v>259</v>
      </c>
      <c r="B22" s="141"/>
      <c r="C22" s="119">
        <v>133</v>
      </c>
      <c r="D22" s="157"/>
      <c r="E22" s="168"/>
      <c r="F22" s="169"/>
      <c r="G22" s="140"/>
      <c r="H22" s="181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0" t="s">
        <v>260</v>
      </c>
      <c r="B24" s="141"/>
      <c r="C24" s="119">
        <v>21</v>
      </c>
      <c r="D24" s="157"/>
      <c r="E24" s="168"/>
      <c r="F24" s="168"/>
      <c r="G24" s="169"/>
      <c r="H24" s="51" t="s">
        <v>261</v>
      </c>
      <c r="I24" s="120">
        <v>383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0" t="s">
        <v>262</v>
      </c>
      <c r="B26" s="141"/>
      <c r="C26" s="121" t="s">
        <v>331</v>
      </c>
      <c r="D26" s="25"/>
      <c r="E26" s="33"/>
      <c r="F26" s="24"/>
      <c r="G26" s="170" t="s">
        <v>263</v>
      </c>
      <c r="H26" s="141"/>
      <c r="I26" s="122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5"/>
      <c r="B30" s="158"/>
      <c r="C30" s="158"/>
      <c r="D30" s="159"/>
      <c r="E30" s="165"/>
      <c r="F30" s="158"/>
      <c r="G30" s="158"/>
      <c r="H30" s="155"/>
      <c r="I30" s="156"/>
      <c r="J30" s="10"/>
      <c r="K30" s="10"/>
      <c r="L30" s="10"/>
    </row>
    <row r="31" spans="1:12" ht="12.75">
      <c r="A31" s="92"/>
      <c r="B31" s="22"/>
      <c r="C31" s="21"/>
      <c r="D31" s="166"/>
      <c r="E31" s="166"/>
      <c r="F31" s="166"/>
      <c r="G31" s="167"/>
      <c r="H31" s="16"/>
      <c r="I31" s="99"/>
      <c r="J31" s="10"/>
      <c r="K31" s="10"/>
      <c r="L31" s="10"/>
    </row>
    <row r="32" spans="1:12" ht="12.75">
      <c r="A32" s="165"/>
      <c r="B32" s="158"/>
      <c r="C32" s="158"/>
      <c r="D32" s="159"/>
      <c r="E32" s="165"/>
      <c r="F32" s="158"/>
      <c r="G32" s="158"/>
      <c r="H32" s="155"/>
      <c r="I32" s="156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5"/>
      <c r="B34" s="158"/>
      <c r="C34" s="158"/>
      <c r="D34" s="159"/>
      <c r="E34" s="165"/>
      <c r="F34" s="158"/>
      <c r="G34" s="158"/>
      <c r="H34" s="155"/>
      <c r="I34" s="15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5"/>
      <c r="B36" s="158"/>
      <c r="C36" s="158"/>
      <c r="D36" s="159"/>
      <c r="E36" s="165"/>
      <c r="F36" s="158"/>
      <c r="G36" s="158"/>
      <c r="H36" s="155"/>
      <c r="I36" s="156"/>
      <c r="J36" s="10"/>
      <c r="K36" s="10"/>
      <c r="L36" s="10"/>
    </row>
    <row r="37" spans="1:12" ht="12.75">
      <c r="A37" s="101"/>
      <c r="B37" s="30"/>
      <c r="C37" s="160"/>
      <c r="D37" s="161"/>
      <c r="E37" s="16"/>
      <c r="F37" s="160"/>
      <c r="G37" s="161"/>
      <c r="H37" s="16"/>
      <c r="I37" s="93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55"/>
      <c r="I40" s="15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5" t="s">
        <v>267</v>
      </c>
      <c r="B44" s="136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1"/>
      <c r="B45" s="30"/>
      <c r="C45" s="160"/>
      <c r="D45" s="161"/>
      <c r="E45" s="16"/>
      <c r="F45" s="160"/>
      <c r="G45" s="162"/>
      <c r="H45" s="35"/>
      <c r="I45" s="105"/>
      <c r="J45" s="10"/>
      <c r="K45" s="10"/>
      <c r="L45" s="10"/>
    </row>
    <row r="46" spans="1:12" ht="12.75">
      <c r="A46" s="135" t="s">
        <v>268</v>
      </c>
      <c r="B46" s="136"/>
      <c r="C46" s="157" t="s">
        <v>333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5" t="s">
        <v>270</v>
      </c>
      <c r="B48" s="136"/>
      <c r="C48" s="142" t="s">
        <v>334</v>
      </c>
      <c r="D48" s="138"/>
      <c r="E48" s="139"/>
      <c r="F48" s="16"/>
      <c r="G48" s="51" t="s">
        <v>271</v>
      </c>
      <c r="H48" s="142" t="s">
        <v>335</v>
      </c>
      <c r="I48" s="13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5" t="s">
        <v>257</v>
      </c>
      <c r="B50" s="136"/>
      <c r="C50" s="137" t="s">
        <v>336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0" t="s">
        <v>272</v>
      </c>
      <c r="B52" s="141"/>
      <c r="C52" s="142" t="s">
        <v>337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106"/>
      <c r="B53" s="20"/>
      <c r="C53" s="151" t="s">
        <v>273</v>
      </c>
      <c r="D53" s="151"/>
      <c r="E53" s="151"/>
      <c r="F53" s="151"/>
      <c r="G53" s="151"/>
      <c r="H53" s="15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4" t="s">
        <v>274</v>
      </c>
      <c r="C55" s="145"/>
      <c r="D55" s="145"/>
      <c r="E55" s="14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6" t="s">
        <v>306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106"/>
      <c r="B57" s="146" t="s">
        <v>307</v>
      </c>
      <c r="C57" s="147"/>
      <c r="D57" s="147"/>
      <c r="E57" s="147"/>
      <c r="F57" s="147"/>
      <c r="G57" s="147"/>
      <c r="H57" s="147"/>
      <c r="I57" s="108"/>
      <c r="J57" s="10"/>
      <c r="K57" s="10"/>
      <c r="L57" s="10"/>
    </row>
    <row r="58" spans="1:12" ht="12.75">
      <c r="A58" s="106"/>
      <c r="B58" s="146" t="s">
        <v>308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6"/>
      <c r="B59" s="146" t="s">
        <v>309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52" t="s">
        <v>277</v>
      </c>
      <c r="H62" s="153"/>
      <c r="I62" s="15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3"/>
      <c r="H63" s="134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5">
      <selection activeCell="A49" sqref="A49:H49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344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338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>
      <c r="A4" s="210" t="s">
        <v>59</v>
      </c>
      <c r="B4" s="211"/>
      <c r="C4" s="211"/>
      <c r="D4" s="211"/>
      <c r="E4" s="211"/>
      <c r="F4" s="211"/>
      <c r="G4" s="211"/>
      <c r="H4" s="212"/>
      <c r="I4" s="57" t="s">
        <v>278</v>
      </c>
      <c r="J4" s="58" t="s">
        <v>319</v>
      </c>
      <c r="K4" s="59" t="s">
        <v>320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6">
        <v>2</v>
      </c>
      <c r="J5" s="55">
        <v>3</v>
      </c>
      <c r="K5" s="55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>
      <c r="A8" s="202" t="s">
        <v>13</v>
      </c>
      <c r="B8" s="203"/>
      <c r="C8" s="203"/>
      <c r="D8" s="203"/>
      <c r="E8" s="203"/>
      <c r="F8" s="203"/>
      <c r="G8" s="203"/>
      <c r="H8" s="204"/>
      <c r="I8" s="1">
        <v>2</v>
      </c>
      <c r="J8" s="127">
        <f>J9+J16+J26+J35+J39</f>
        <v>3352156666</v>
      </c>
      <c r="K8" s="127">
        <f>K9+K16+K26+K35+K39</f>
        <v>3609042860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SUM(J10:J15)</f>
        <v>126474099</v>
      </c>
      <c r="K9" s="53">
        <f>K11+K14</f>
        <v>121421603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114724709</v>
      </c>
      <c r="K11" s="7">
        <v>107022050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11749390</v>
      </c>
      <c r="K14" s="7">
        <v>14399553</v>
      </c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SUM(J17:J25)</f>
        <v>3224767709</v>
      </c>
      <c r="K16" s="53">
        <f>SUM(K17:K25)</f>
        <v>3486716092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384953189</v>
      </c>
      <c r="K17" s="7">
        <v>384953189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1401575843</v>
      </c>
      <c r="K18" s="7">
        <v>1414675139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530682992</v>
      </c>
      <c r="K19" s="7">
        <v>536755582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23787607</v>
      </c>
      <c r="K20" s="7">
        <v>23036572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12629571</v>
      </c>
      <c r="K22" s="7">
        <v>13667443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634273252</v>
      </c>
      <c r="K23" s="7">
        <v>876762912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236865255</v>
      </c>
      <c r="K24" s="7">
        <v>236865255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SUM(J27:J34)</f>
        <v>147833</v>
      </c>
      <c r="K26" s="53">
        <f>SUM(K27:K34)</f>
        <v>160406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147833</v>
      </c>
      <c r="K27" s="7">
        <v>160406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/>
      <c r="K29" s="7"/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/>
      <c r="K32" s="7"/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SUM(J36:J38)</f>
        <v>44052</v>
      </c>
      <c r="K35" s="53">
        <f>SUM(K36:K38)</f>
        <v>30583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44052</v>
      </c>
      <c r="K37" s="7">
        <v>30583</v>
      </c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722973</v>
      </c>
      <c r="K39" s="7">
        <v>714176</v>
      </c>
    </row>
    <row r="40" spans="1:11" ht="12.75">
      <c r="A40" s="202" t="s">
        <v>240</v>
      </c>
      <c r="B40" s="203"/>
      <c r="C40" s="203"/>
      <c r="D40" s="203"/>
      <c r="E40" s="203"/>
      <c r="F40" s="203"/>
      <c r="G40" s="203"/>
      <c r="H40" s="204"/>
      <c r="I40" s="1">
        <v>34</v>
      </c>
      <c r="J40" s="127">
        <f>J41+J49+J56+J64</f>
        <v>753068587</v>
      </c>
      <c r="K40" s="127">
        <f>K41+K49+K56+K64</f>
        <v>739570297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SUM(J42:J48)</f>
        <v>17808158</v>
      </c>
      <c r="K41" s="53">
        <f>SUM(K42:K48)</f>
        <v>21837399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17808158</v>
      </c>
      <c r="K42" s="7">
        <v>21837399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/>
      <c r="K45" s="7"/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SUM(J50:J55)</f>
        <v>63392399</v>
      </c>
      <c r="K49" s="53">
        <f>SUM(K50:K55)</f>
        <v>84585724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9072</v>
      </c>
      <c r="K50" s="7">
        <v>4805</v>
      </c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61064701</v>
      </c>
      <c r="K51" s="7">
        <v>80160959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14595</v>
      </c>
      <c r="K53" s="7">
        <v>10105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7411</v>
      </c>
      <c r="K54" s="7"/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2296620</v>
      </c>
      <c r="K55" s="7">
        <v>4409855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SUM(J57:J63)</f>
        <v>100338114</v>
      </c>
      <c r="K56" s="53">
        <f>SUM(K57:K63)</f>
        <v>116530469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338114</v>
      </c>
      <c r="K58" s="7"/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100000000</v>
      </c>
      <c r="K62" s="7">
        <v>116530469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/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571529916</v>
      </c>
      <c r="K64" s="7">
        <v>516616705</v>
      </c>
    </row>
    <row r="65" spans="1:11" ht="12.75">
      <c r="A65" s="202" t="s">
        <v>56</v>
      </c>
      <c r="B65" s="203"/>
      <c r="C65" s="203"/>
      <c r="D65" s="203"/>
      <c r="E65" s="203"/>
      <c r="F65" s="203"/>
      <c r="G65" s="203"/>
      <c r="H65" s="204"/>
      <c r="I65" s="1">
        <v>59</v>
      </c>
      <c r="J65" s="126">
        <v>1938962</v>
      </c>
      <c r="K65" s="126">
        <v>10788930</v>
      </c>
    </row>
    <row r="66" spans="1:11" ht="12.75">
      <c r="A66" s="202" t="s">
        <v>241</v>
      </c>
      <c r="B66" s="203"/>
      <c r="C66" s="203"/>
      <c r="D66" s="203"/>
      <c r="E66" s="203"/>
      <c r="F66" s="203"/>
      <c r="G66" s="203"/>
      <c r="H66" s="204"/>
      <c r="I66" s="1">
        <v>60</v>
      </c>
      <c r="J66" s="127">
        <f>J7+J8+J40+J65</f>
        <v>4107164215</v>
      </c>
      <c r="K66" s="127">
        <f>K7+K8+K40+K65</f>
        <v>4359402087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128">
        <v>3441782209</v>
      </c>
      <c r="K67" s="128">
        <v>3398384408</v>
      </c>
    </row>
    <row r="68" spans="1:11" ht="12.75">
      <c r="A68" s="219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01"/>
      <c r="I69" s="3">
        <v>62</v>
      </c>
      <c r="J69" s="129">
        <f>J70+J71+J72+J78+J79+J82+J85</f>
        <v>3874278567</v>
      </c>
      <c r="K69" s="129">
        <f>K70+K71+K72+K78+K79+K82+K85</f>
        <v>4102345170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2952437940</v>
      </c>
      <c r="K70" s="7">
        <v>2952437940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53585</v>
      </c>
      <c r="K71" s="7">
        <v>53585</v>
      </c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J73+J74-J75+J76+J77</f>
        <v>304636263</v>
      </c>
      <c r="K72" s="53">
        <f>K73+K74-K75+K76+K77</f>
        <v>457274564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67479591</v>
      </c>
      <c r="K73" s="7">
        <v>82016572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/>
      <c r="K74" s="7"/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/>
      <c r="K75" s="7"/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237156672</v>
      </c>
      <c r="K77" s="7">
        <v>375257992</v>
      </c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J80-J81</f>
        <v>326411157</v>
      </c>
      <c r="K79" s="53">
        <f>K80-K81</f>
        <v>464512478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326411157</v>
      </c>
      <c r="K80" s="7">
        <v>464512478</v>
      </c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J83-J84</f>
        <v>290739622</v>
      </c>
      <c r="K82" s="53">
        <f>K83-K84</f>
        <v>228066603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290739622</v>
      </c>
      <c r="K83" s="7">
        <v>228066603</v>
      </c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02" t="s">
        <v>19</v>
      </c>
      <c r="B86" s="203"/>
      <c r="C86" s="203"/>
      <c r="D86" s="203"/>
      <c r="E86" s="203"/>
      <c r="F86" s="203"/>
      <c r="G86" s="203"/>
      <c r="H86" s="204"/>
      <c r="I86" s="1">
        <v>79</v>
      </c>
      <c r="J86" s="127">
        <f>SUM(J87:J89)</f>
        <v>27806754</v>
      </c>
      <c r="K86" s="127">
        <f>SUM(K87:K89)</f>
        <v>25202881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8897360</v>
      </c>
      <c r="K87" s="7">
        <v>8897360</v>
      </c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18909394</v>
      </c>
      <c r="K89" s="7">
        <v>16305521</v>
      </c>
    </row>
    <row r="90" spans="1:11" ht="12.75">
      <c r="A90" s="202" t="s">
        <v>20</v>
      </c>
      <c r="B90" s="203"/>
      <c r="C90" s="203"/>
      <c r="D90" s="203"/>
      <c r="E90" s="203"/>
      <c r="F90" s="203"/>
      <c r="G90" s="203"/>
      <c r="H90" s="204"/>
      <c r="I90" s="1">
        <v>83</v>
      </c>
      <c r="J90" s="127">
        <f>SUM(J91:J99)</f>
        <v>80098150</v>
      </c>
      <c r="K90" s="127">
        <f>SUM(K91:K99)</f>
        <v>81797785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/>
      <c r="K93" s="7"/>
    </row>
    <row r="94" spans="1:11" ht="12.75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80098150</v>
      </c>
      <c r="K98" s="7">
        <v>81797785</v>
      </c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>
      <c r="A100" s="202" t="s">
        <v>21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27">
        <f>SUM(J101:J112)</f>
        <v>120847183</v>
      </c>
      <c r="K100" s="127">
        <f>SUM(K101:K112)</f>
        <v>131098295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513815</v>
      </c>
      <c r="K101" s="7">
        <v>675577</v>
      </c>
    </row>
    <row r="102" spans="1:11" ht="12.75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/>
      <c r="K103" s="7"/>
    </row>
    <row r="104" spans="1:11" ht="12.75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500</v>
      </c>
      <c r="K104" s="7">
        <v>2000</v>
      </c>
    </row>
    <row r="105" spans="1:11" ht="12.75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100102542</v>
      </c>
      <c r="K105" s="7">
        <v>111717038</v>
      </c>
    </row>
    <row r="106" spans="1:11" ht="12.75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3852499</v>
      </c>
      <c r="K108" s="7">
        <v>3974967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15550690</v>
      </c>
      <c r="K109" s="7">
        <v>13372391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20095</v>
      </c>
      <c r="K110" s="7">
        <v>17019</v>
      </c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807042</v>
      </c>
      <c r="K112" s="7">
        <v>1339303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26">
        <v>4133561</v>
      </c>
      <c r="K113" s="126">
        <v>18957956</v>
      </c>
    </row>
    <row r="114" spans="1:11" ht="12.75">
      <c r="A114" s="202" t="s">
        <v>25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27">
        <f>J69+J86+J90+J100+J113</f>
        <v>4107164215</v>
      </c>
      <c r="K114" s="127">
        <f>K69+K86+K90+K100+K113</f>
        <v>4359402087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128">
        <v>3441782209</v>
      </c>
      <c r="K115" s="128">
        <v>3398384408</v>
      </c>
    </row>
    <row r="116" spans="1:11" ht="12.75">
      <c r="A116" s="219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33"/>
      <c r="J117" s="233"/>
      <c r="K117" s="234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/>
      <c r="K119" s="8"/>
    </row>
    <row r="120" spans="1:11" ht="12.75">
      <c r="A120" s="238" t="s">
        <v>311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3">
      <selection activeCell="A49" sqref="A49:H4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5" t="s">
        <v>154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49" t="s">
        <v>345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0" t="s">
        <v>339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41" t="s">
        <v>59</v>
      </c>
      <c r="B4" s="241"/>
      <c r="C4" s="241"/>
      <c r="D4" s="241"/>
      <c r="E4" s="241"/>
      <c r="F4" s="241"/>
      <c r="G4" s="241"/>
      <c r="H4" s="241"/>
      <c r="I4" s="57" t="s">
        <v>279</v>
      </c>
      <c r="J4" s="242" t="s">
        <v>319</v>
      </c>
      <c r="K4" s="242"/>
      <c r="L4" s="242" t="s">
        <v>320</v>
      </c>
      <c r="M4" s="242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01"/>
      <c r="I7" s="3">
        <v>111</v>
      </c>
      <c r="J7" s="129">
        <f>J8+J9</f>
        <v>523578502</v>
      </c>
      <c r="K7" s="129">
        <f>K8+K9</f>
        <v>161298256</v>
      </c>
      <c r="L7" s="129">
        <f>L8+L9</f>
        <v>530044549</v>
      </c>
      <c r="M7" s="129">
        <f>M8+M9</f>
        <v>177687632</v>
      </c>
    </row>
    <row r="8" spans="1:13" ht="12.75">
      <c r="A8" s="202" t="s">
        <v>152</v>
      </c>
      <c r="B8" s="203"/>
      <c r="C8" s="203"/>
      <c r="D8" s="203"/>
      <c r="E8" s="203"/>
      <c r="F8" s="203"/>
      <c r="G8" s="203"/>
      <c r="H8" s="204"/>
      <c r="I8" s="1">
        <v>112</v>
      </c>
      <c r="J8" s="126">
        <v>521160626</v>
      </c>
      <c r="K8" s="126">
        <v>160540426</v>
      </c>
      <c r="L8" s="126">
        <v>521553396</v>
      </c>
      <c r="M8" s="126">
        <f>L8-344429734</f>
        <v>177123662</v>
      </c>
    </row>
    <row r="9" spans="1:13" ht="12.75">
      <c r="A9" s="202" t="s">
        <v>103</v>
      </c>
      <c r="B9" s="203"/>
      <c r="C9" s="203"/>
      <c r="D9" s="203"/>
      <c r="E9" s="203"/>
      <c r="F9" s="203"/>
      <c r="G9" s="203"/>
      <c r="H9" s="204"/>
      <c r="I9" s="1">
        <v>113</v>
      </c>
      <c r="J9" s="126">
        <v>2417876</v>
      </c>
      <c r="K9" s="126">
        <v>757830</v>
      </c>
      <c r="L9" s="126">
        <v>8491153</v>
      </c>
      <c r="M9" s="126">
        <f>L9-7927183</f>
        <v>563970</v>
      </c>
    </row>
    <row r="10" spans="1:13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1">
        <v>114</v>
      </c>
      <c r="J10" s="127">
        <f>J11+J12+J16+J20+J21+J22+J25+J26</f>
        <v>285758303</v>
      </c>
      <c r="K10" s="127">
        <f>K11+K12+K16+K20+K21+K22+K25+K26</f>
        <v>94984495</v>
      </c>
      <c r="L10" s="127">
        <f>L11+L12+L16+L20+L21+L22+L25+L26</f>
        <v>258135297</v>
      </c>
      <c r="M10" s="127">
        <f>M11+M12+M16+M20+M21+M22+M25+M26</f>
        <v>79450280</v>
      </c>
    </row>
    <row r="11" spans="1:13" ht="12.75">
      <c r="A11" s="202" t="s">
        <v>104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>
      <c r="A12" s="202" t="s">
        <v>22</v>
      </c>
      <c r="B12" s="203"/>
      <c r="C12" s="203"/>
      <c r="D12" s="203"/>
      <c r="E12" s="203"/>
      <c r="F12" s="203"/>
      <c r="G12" s="203"/>
      <c r="H12" s="204"/>
      <c r="I12" s="1">
        <v>116</v>
      </c>
      <c r="J12" s="127">
        <f>SUM(J13:J15)</f>
        <v>72953998</v>
      </c>
      <c r="K12" s="127">
        <f>SUM(K13:K15)</f>
        <v>28269574</v>
      </c>
      <c r="L12" s="127">
        <f>SUM(L13:L15)</f>
        <v>81077304</v>
      </c>
      <c r="M12" s="127">
        <f>SUM(M13:M15)</f>
        <v>30063441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22753224</v>
      </c>
      <c r="K13" s="7">
        <v>9084249</v>
      </c>
      <c r="L13" s="7">
        <v>27569122</v>
      </c>
      <c r="M13" s="7">
        <f>L13-16578474</f>
        <v>10990648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/>
      <c r="K14" s="7"/>
      <c r="L14" s="7"/>
      <c r="M14" s="7"/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50200774</v>
      </c>
      <c r="K15" s="7">
        <v>19185325</v>
      </c>
      <c r="L15" s="7">
        <v>53508182</v>
      </c>
      <c r="M15" s="7">
        <f>L15-34435389</f>
        <v>19072793</v>
      </c>
    </row>
    <row r="16" spans="1:13" ht="12.75">
      <c r="A16" s="202" t="s">
        <v>23</v>
      </c>
      <c r="B16" s="203"/>
      <c r="C16" s="203"/>
      <c r="D16" s="203"/>
      <c r="E16" s="203"/>
      <c r="F16" s="203"/>
      <c r="G16" s="203"/>
      <c r="H16" s="204"/>
      <c r="I16" s="1">
        <v>120</v>
      </c>
      <c r="J16" s="127">
        <f>SUM(J17:J19)</f>
        <v>55221978</v>
      </c>
      <c r="K16" s="127">
        <f>SUM(K17:K19)</f>
        <v>18409618</v>
      </c>
      <c r="L16" s="127">
        <f>SUM(L17:L19)</f>
        <v>57427429</v>
      </c>
      <c r="M16" s="127">
        <f>SUM(M17:M19)</f>
        <v>19791288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32008509</v>
      </c>
      <c r="K17" s="7">
        <v>10614525</v>
      </c>
      <c r="L17" s="7">
        <v>32839468</v>
      </c>
      <c r="M17" s="7">
        <f>L17-21549543</f>
        <v>11289925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15096009</v>
      </c>
      <c r="K18" s="7">
        <v>5087128</v>
      </c>
      <c r="L18" s="7">
        <v>15709714</v>
      </c>
      <c r="M18" s="7">
        <f>L18-10147759</f>
        <v>5561955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8117460</v>
      </c>
      <c r="K19" s="7">
        <v>2707965</v>
      </c>
      <c r="L19" s="7">
        <v>8878247</v>
      </c>
      <c r="M19" s="7">
        <f>L19-5938839</f>
        <v>2939408</v>
      </c>
    </row>
    <row r="20" spans="1:13" ht="12.75">
      <c r="A20" s="202" t="s">
        <v>105</v>
      </c>
      <c r="B20" s="203"/>
      <c r="C20" s="203"/>
      <c r="D20" s="203"/>
      <c r="E20" s="203"/>
      <c r="F20" s="203"/>
      <c r="G20" s="203"/>
      <c r="H20" s="204"/>
      <c r="I20" s="1">
        <v>124</v>
      </c>
      <c r="J20" s="126">
        <v>137529116</v>
      </c>
      <c r="K20" s="126">
        <v>40648952</v>
      </c>
      <c r="L20" s="126">
        <v>100430048</v>
      </c>
      <c r="M20" s="126">
        <f>L20-77103183</f>
        <v>23326865</v>
      </c>
    </row>
    <row r="21" spans="1:13" ht="12.75">
      <c r="A21" s="202" t="s">
        <v>106</v>
      </c>
      <c r="B21" s="203"/>
      <c r="C21" s="203"/>
      <c r="D21" s="203"/>
      <c r="E21" s="203"/>
      <c r="F21" s="203"/>
      <c r="G21" s="203"/>
      <c r="H21" s="204"/>
      <c r="I21" s="1">
        <v>125</v>
      </c>
      <c r="J21" s="126">
        <v>19532131</v>
      </c>
      <c r="K21" s="126">
        <v>7576848</v>
      </c>
      <c r="L21" s="126">
        <v>18735419</v>
      </c>
      <c r="M21" s="126">
        <f>L21-12499433</f>
        <v>6235986</v>
      </c>
    </row>
    <row r="22" spans="1:13" ht="12.75">
      <c r="A22" s="202" t="s">
        <v>24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/>
      <c r="K24" s="7"/>
      <c r="L24" s="7"/>
      <c r="M24" s="7"/>
    </row>
    <row r="25" spans="1:13" ht="12.75">
      <c r="A25" s="202" t="s">
        <v>107</v>
      </c>
      <c r="B25" s="203"/>
      <c r="C25" s="203"/>
      <c r="D25" s="203"/>
      <c r="E25" s="203"/>
      <c r="F25" s="203"/>
      <c r="G25" s="203"/>
      <c r="H25" s="204"/>
      <c r="I25" s="1">
        <v>129</v>
      </c>
      <c r="J25" s="126"/>
      <c r="K25" s="126"/>
      <c r="L25" s="126"/>
      <c r="M25" s="126"/>
    </row>
    <row r="26" spans="1:13" ht="12.75">
      <c r="A26" s="202" t="s">
        <v>50</v>
      </c>
      <c r="B26" s="203"/>
      <c r="C26" s="203"/>
      <c r="D26" s="203"/>
      <c r="E26" s="203"/>
      <c r="F26" s="203"/>
      <c r="G26" s="203"/>
      <c r="H26" s="204"/>
      <c r="I26" s="1">
        <v>130</v>
      </c>
      <c r="J26" s="126">
        <v>521080</v>
      </c>
      <c r="K26" s="126">
        <v>79503</v>
      </c>
      <c r="L26" s="126">
        <v>465097</v>
      </c>
      <c r="M26" s="126">
        <f>L26-432397</f>
        <v>32700</v>
      </c>
    </row>
    <row r="27" spans="1:13" ht="12.75">
      <c r="A27" s="202" t="s">
        <v>213</v>
      </c>
      <c r="B27" s="203"/>
      <c r="C27" s="203"/>
      <c r="D27" s="203"/>
      <c r="E27" s="203"/>
      <c r="F27" s="203"/>
      <c r="G27" s="203"/>
      <c r="H27" s="204"/>
      <c r="I27" s="1">
        <v>131</v>
      </c>
      <c r="J27" s="127">
        <f>SUM(J28:J32)</f>
        <v>5604528</v>
      </c>
      <c r="K27" s="127">
        <f>SUM(K28:K32)</f>
        <v>-3446479</v>
      </c>
      <c r="L27" s="127">
        <f>SUM(L28:L32)</f>
        <v>7439601</v>
      </c>
      <c r="M27" s="127">
        <f>SUM(M28:M32)</f>
        <v>2544795</v>
      </c>
    </row>
    <row r="28" spans="1:13" ht="12.75">
      <c r="A28" s="202" t="s">
        <v>227</v>
      </c>
      <c r="B28" s="203"/>
      <c r="C28" s="203"/>
      <c r="D28" s="203"/>
      <c r="E28" s="203"/>
      <c r="F28" s="203"/>
      <c r="G28" s="203"/>
      <c r="H28" s="204"/>
      <c r="I28" s="1">
        <v>132</v>
      </c>
      <c r="J28" s="126">
        <v>21630</v>
      </c>
      <c r="K28" s="126">
        <v>5814</v>
      </c>
      <c r="L28" s="126">
        <v>3597</v>
      </c>
      <c r="M28" s="126">
        <v>0</v>
      </c>
    </row>
    <row r="29" spans="1:13" ht="12.75">
      <c r="A29" s="202" t="s">
        <v>155</v>
      </c>
      <c r="B29" s="203"/>
      <c r="C29" s="203"/>
      <c r="D29" s="203"/>
      <c r="E29" s="203"/>
      <c r="F29" s="203"/>
      <c r="G29" s="203"/>
      <c r="H29" s="204"/>
      <c r="I29" s="1">
        <v>133</v>
      </c>
      <c r="J29" s="126">
        <v>4959435</v>
      </c>
      <c r="K29" s="126">
        <v>-4075756</v>
      </c>
      <c r="L29" s="126">
        <v>7436004</v>
      </c>
      <c r="M29" s="126">
        <f>L29-4891209</f>
        <v>2544795</v>
      </c>
    </row>
    <row r="30" spans="1:13" ht="12.75">
      <c r="A30" s="202" t="s">
        <v>139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126"/>
      <c r="K30" s="126"/>
      <c r="L30" s="126"/>
      <c r="M30" s="126"/>
    </row>
    <row r="31" spans="1:13" ht="12.75">
      <c r="A31" s="202" t="s">
        <v>223</v>
      </c>
      <c r="B31" s="203"/>
      <c r="C31" s="203"/>
      <c r="D31" s="203"/>
      <c r="E31" s="203"/>
      <c r="F31" s="203"/>
      <c r="G31" s="203"/>
      <c r="H31" s="204"/>
      <c r="I31" s="1">
        <v>135</v>
      </c>
      <c r="J31" s="126"/>
      <c r="K31" s="126"/>
      <c r="L31" s="126"/>
      <c r="M31" s="126"/>
    </row>
    <row r="32" spans="1:13" ht="12.75">
      <c r="A32" s="202" t="s">
        <v>140</v>
      </c>
      <c r="B32" s="203"/>
      <c r="C32" s="203"/>
      <c r="D32" s="203"/>
      <c r="E32" s="203"/>
      <c r="F32" s="203"/>
      <c r="G32" s="203"/>
      <c r="H32" s="204"/>
      <c r="I32" s="1">
        <v>136</v>
      </c>
      <c r="J32" s="126">
        <v>623463</v>
      </c>
      <c r="K32" s="126">
        <v>623463</v>
      </c>
      <c r="L32" s="126"/>
      <c r="M32" s="126"/>
    </row>
    <row r="33" spans="1:13" ht="12.75">
      <c r="A33" s="202" t="s">
        <v>214</v>
      </c>
      <c r="B33" s="203"/>
      <c r="C33" s="203"/>
      <c r="D33" s="203"/>
      <c r="E33" s="203"/>
      <c r="F33" s="203"/>
      <c r="G33" s="203"/>
      <c r="H33" s="204"/>
      <c r="I33" s="1">
        <v>137</v>
      </c>
      <c r="J33" s="127">
        <f>SUM(J34:J37)</f>
        <v>7729770</v>
      </c>
      <c r="K33" s="127">
        <f>SUM(K34:K37)</f>
        <v>2379087</v>
      </c>
      <c r="L33" s="127">
        <f>SUM(L34:L37)</f>
        <v>1218850</v>
      </c>
      <c r="M33" s="127">
        <f>SUM(M34:M37)</f>
        <v>25368</v>
      </c>
    </row>
    <row r="34" spans="1:13" ht="12.75">
      <c r="A34" s="202" t="s">
        <v>66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126"/>
      <c r="K34" s="126"/>
      <c r="L34" s="126">
        <v>447</v>
      </c>
      <c r="M34" s="126">
        <v>0</v>
      </c>
    </row>
    <row r="35" spans="1:13" ht="12.75">
      <c r="A35" s="202" t="s">
        <v>65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126">
        <v>7729770</v>
      </c>
      <c r="K35" s="126">
        <v>2379087</v>
      </c>
      <c r="L35" s="126">
        <v>1218403</v>
      </c>
      <c r="M35" s="126">
        <f>L35-1193035</f>
        <v>25368</v>
      </c>
    </row>
    <row r="36" spans="1:13" ht="12.75">
      <c r="A36" s="202" t="s">
        <v>224</v>
      </c>
      <c r="B36" s="203"/>
      <c r="C36" s="203"/>
      <c r="D36" s="203"/>
      <c r="E36" s="203"/>
      <c r="F36" s="203"/>
      <c r="G36" s="203"/>
      <c r="H36" s="204"/>
      <c r="I36" s="1">
        <v>140</v>
      </c>
      <c r="J36" s="126"/>
      <c r="K36" s="126"/>
      <c r="L36" s="126"/>
      <c r="M36" s="126"/>
    </row>
    <row r="37" spans="1:13" ht="12.75">
      <c r="A37" s="202" t="s">
        <v>67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126"/>
      <c r="K37" s="126"/>
      <c r="L37" s="126"/>
      <c r="M37" s="126"/>
    </row>
    <row r="38" spans="1:13" ht="12.75">
      <c r="A38" s="202" t="s">
        <v>195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196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225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226</v>
      </c>
      <c r="B41" s="203"/>
      <c r="C41" s="203"/>
      <c r="D41" s="203"/>
      <c r="E41" s="203"/>
      <c r="F41" s="203"/>
      <c r="G41" s="203"/>
      <c r="H41" s="204"/>
      <c r="I41" s="1">
        <v>145</v>
      </c>
      <c r="J41" s="126"/>
      <c r="K41" s="126"/>
      <c r="L41" s="126"/>
      <c r="M41" s="126"/>
    </row>
    <row r="42" spans="1:13" ht="12.75">
      <c r="A42" s="202" t="s">
        <v>215</v>
      </c>
      <c r="B42" s="203"/>
      <c r="C42" s="203"/>
      <c r="D42" s="203"/>
      <c r="E42" s="203"/>
      <c r="F42" s="203"/>
      <c r="G42" s="203"/>
      <c r="H42" s="204"/>
      <c r="I42" s="1">
        <v>146</v>
      </c>
      <c r="J42" s="127">
        <f>J7+J27+J38+J40</f>
        <v>529183030</v>
      </c>
      <c r="K42" s="127">
        <f>K7+K27+K38+K40</f>
        <v>157851777</v>
      </c>
      <c r="L42" s="127">
        <f>L7+L27+L38+L40</f>
        <v>537484150</v>
      </c>
      <c r="M42" s="127">
        <f>M7+M27+M38+M40</f>
        <v>180232427</v>
      </c>
    </row>
    <row r="43" spans="1:13" ht="12.75">
      <c r="A43" s="202" t="s">
        <v>216</v>
      </c>
      <c r="B43" s="203"/>
      <c r="C43" s="203"/>
      <c r="D43" s="203"/>
      <c r="E43" s="203"/>
      <c r="F43" s="203"/>
      <c r="G43" s="203"/>
      <c r="H43" s="204"/>
      <c r="I43" s="1">
        <v>147</v>
      </c>
      <c r="J43" s="127">
        <f>J10+J33+J39+J41</f>
        <v>293488073</v>
      </c>
      <c r="K43" s="127">
        <f>K10+K33+K39+K41</f>
        <v>97363582</v>
      </c>
      <c r="L43" s="127">
        <f>L10+L33+L39+L41</f>
        <v>259354147</v>
      </c>
      <c r="M43" s="127">
        <f>M10+M33+M39+M41</f>
        <v>79475648</v>
      </c>
    </row>
    <row r="44" spans="1:13" ht="12.75">
      <c r="A44" s="202" t="s">
        <v>236</v>
      </c>
      <c r="B44" s="203"/>
      <c r="C44" s="203"/>
      <c r="D44" s="203"/>
      <c r="E44" s="203"/>
      <c r="F44" s="203"/>
      <c r="G44" s="203"/>
      <c r="H44" s="204"/>
      <c r="I44" s="1">
        <v>148</v>
      </c>
      <c r="J44" s="127">
        <f>J42-J43</f>
        <v>235694957</v>
      </c>
      <c r="K44" s="127">
        <f>K42-K43</f>
        <v>60488195</v>
      </c>
      <c r="L44" s="127">
        <f>L42-L43</f>
        <v>278130003</v>
      </c>
      <c r="M44" s="127">
        <f>M42-M43</f>
        <v>100756779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235694957</v>
      </c>
      <c r="K45" s="53">
        <f>IF(K42&gt;K43,K42-K43,0)</f>
        <v>60488195</v>
      </c>
      <c r="L45" s="53">
        <f>IF(L42&gt;L43,L42-L43,0)</f>
        <v>278130003</v>
      </c>
      <c r="M45" s="53">
        <f>IF(M42&gt;M43,M42-M43,0)</f>
        <v>100756779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2" t="s">
        <v>217</v>
      </c>
      <c r="B47" s="203"/>
      <c r="C47" s="203"/>
      <c r="D47" s="203"/>
      <c r="E47" s="203"/>
      <c r="F47" s="203"/>
      <c r="G47" s="203"/>
      <c r="H47" s="204"/>
      <c r="I47" s="1">
        <v>151</v>
      </c>
      <c r="J47" s="126">
        <v>42425092</v>
      </c>
      <c r="K47" s="126">
        <v>10887875</v>
      </c>
      <c r="L47" s="126">
        <v>50063400</v>
      </c>
      <c r="M47" s="126">
        <f>L47-31927180</f>
        <v>18136220</v>
      </c>
    </row>
    <row r="48" spans="1:13" ht="12.75">
      <c r="A48" s="202" t="s">
        <v>237</v>
      </c>
      <c r="B48" s="203"/>
      <c r="C48" s="203"/>
      <c r="D48" s="203"/>
      <c r="E48" s="203"/>
      <c r="F48" s="203"/>
      <c r="G48" s="203"/>
      <c r="H48" s="204"/>
      <c r="I48" s="1">
        <v>152</v>
      </c>
      <c r="J48" s="127">
        <f>J44-J47</f>
        <v>193269865</v>
      </c>
      <c r="K48" s="127">
        <f>K44-K47</f>
        <v>49600320</v>
      </c>
      <c r="L48" s="127">
        <f>L44-L47</f>
        <v>228066603</v>
      </c>
      <c r="M48" s="127">
        <f>M44-M47</f>
        <v>82620559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193269865</v>
      </c>
      <c r="K49" s="53">
        <f>IF(K48&gt;0,K48,0)</f>
        <v>49600320</v>
      </c>
      <c r="L49" s="53">
        <f>IF(L48&gt;0,L48,0)</f>
        <v>228066603</v>
      </c>
      <c r="M49" s="53">
        <f>IF(M48&gt;0,M48,0)</f>
        <v>82620559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9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4"/>
      <c r="J52" s="54"/>
      <c r="K52" s="54"/>
      <c r="L52" s="54"/>
      <c r="M52" s="61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19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01"/>
      <c r="I56" s="9">
        <v>157</v>
      </c>
      <c r="J56" s="130">
        <v>193269865</v>
      </c>
      <c r="K56" s="130">
        <v>49600320</v>
      </c>
      <c r="L56" s="130">
        <v>228066603</v>
      </c>
      <c r="M56" s="130">
        <v>82620559</v>
      </c>
    </row>
    <row r="57" spans="1:13" ht="12.75">
      <c r="A57" s="202" t="s">
        <v>221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2" t="s">
        <v>228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02" t="s">
        <v>229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>
      <c r="A60" s="202" t="s">
        <v>45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230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231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232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233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222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>
      <c r="A66" s="202" t="s">
        <v>193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2" t="s">
        <v>194</v>
      </c>
      <c r="B67" s="203"/>
      <c r="C67" s="203"/>
      <c r="D67" s="203"/>
      <c r="E67" s="203"/>
      <c r="F67" s="203"/>
      <c r="G67" s="203"/>
      <c r="H67" s="204"/>
      <c r="I67" s="1">
        <v>168</v>
      </c>
      <c r="J67" s="131">
        <f>J56+J66</f>
        <v>193269865</v>
      </c>
      <c r="K67" s="131">
        <f>K56+K66</f>
        <v>49600320</v>
      </c>
      <c r="L67" s="131">
        <f>L56+L66</f>
        <v>228066603</v>
      </c>
      <c r="M67" s="131">
        <f>M56+M66</f>
        <v>82620559</v>
      </c>
    </row>
    <row r="68" spans="1:13" ht="12.75" customHeight="1">
      <c r="A68" s="253" t="s">
        <v>313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50" t="s">
        <v>235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9">
      <selection activeCell="K42" sqref="K42"/>
    </sheetView>
  </sheetViews>
  <sheetFormatPr defaultColWidth="9.140625" defaultRowHeight="12.75"/>
  <cols>
    <col min="1" max="9" width="9.140625" style="52" customWidth="1"/>
    <col min="10" max="10" width="11.42187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340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65" t="s">
        <v>279</v>
      </c>
      <c r="J4" s="66" t="s">
        <v>319</v>
      </c>
      <c r="K4" s="66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7">
        <v>2</v>
      </c>
      <c r="J5" s="68" t="s">
        <v>283</v>
      </c>
      <c r="K5" s="68" t="s">
        <v>284</v>
      </c>
    </row>
    <row r="6" spans="1:11" ht="12.75">
      <c r="A6" s="219" t="s">
        <v>156</v>
      </c>
      <c r="B6" s="230"/>
      <c r="C6" s="230"/>
      <c r="D6" s="230"/>
      <c r="E6" s="230"/>
      <c r="F6" s="230"/>
      <c r="G6" s="230"/>
      <c r="H6" s="230"/>
      <c r="I6" s="264"/>
      <c r="J6" s="264"/>
      <c r="K6" s="265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235694957</v>
      </c>
      <c r="K7" s="7">
        <v>278130003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137529116</v>
      </c>
      <c r="K8" s="7">
        <v>100430048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>
        <v>10251112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5">
        <v>7974467</v>
      </c>
      <c r="K10" s="7"/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5">
        <v>5746966</v>
      </c>
      <c r="K12" s="7">
        <v>16524031</v>
      </c>
    </row>
    <row r="13" spans="1:11" ht="12.75">
      <c r="A13" s="202" t="s">
        <v>157</v>
      </c>
      <c r="B13" s="203"/>
      <c r="C13" s="203"/>
      <c r="D13" s="203"/>
      <c r="E13" s="203"/>
      <c r="F13" s="203"/>
      <c r="G13" s="203"/>
      <c r="H13" s="203"/>
      <c r="I13" s="1">
        <v>7</v>
      </c>
      <c r="J13" s="132">
        <f>SUM(J7:J12)</f>
        <v>386945506</v>
      </c>
      <c r="K13" s="127">
        <f>SUM(K7:K12)</f>
        <v>405335194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5">
        <v>3839861</v>
      </c>
      <c r="K14" s="7"/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>
        <v>26652000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>
        <v>732196</v>
      </c>
      <c r="K16" s="7">
        <v>4029241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>
        <v>86200350</v>
      </c>
      <c r="K17" s="7">
        <v>61517242</v>
      </c>
    </row>
    <row r="18" spans="1:11" ht="12.75">
      <c r="A18" s="202" t="s">
        <v>158</v>
      </c>
      <c r="B18" s="203"/>
      <c r="C18" s="203"/>
      <c r="D18" s="203"/>
      <c r="E18" s="203"/>
      <c r="F18" s="203"/>
      <c r="G18" s="203"/>
      <c r="H18" s="203"/>
      <c r="I18" s="1">
        <v>12</v>
      </c>
      <c r="J18" s="132">
        <f>SUM(J14:J17)</f>
        <v>90772407</v>
      </c>
      <c r="K18" s="127">
        <f>SUM(K14:K17)</f>
        <v>92198483</v>
      </c>
    </row>
    <row r="19" spans="1:11" ht="12.75">
      <c r="A19" s="202" t="s">
        <v>36</v>
      </c>
      <c r="B19" s="203"/>
      <c r="C19" s="203"/>
      <c r="D19" s="203"/>
      <c r="E19" s="203"/>
      <c r="F19" s="203"/>
      <c r="G19" s="203"/>
      <c r="H19" s="203"/>
      <c r="I19" s="1">
        <v>13</v>
      </c>
      <c r="J19" s="132">
        <f>IF(J13&gt;J18,J13-J18,0)</f>
        <v>296173099</v>
      </c>
      <c r="K19" s="127">
        <f>IF(K13&gt;K18,K13-K18,0)</f>
        <v>313136711</v>
      </c>
    </row>
    <row r="20" spans="1:11" ht="12.75">
      <c r="A20" s="202" t="s">
        <v>37</v>
      </c>
      <c r="B20" s="203"/>
      <c r="C20" s="203"/>
      <c r="D20" s="203"/>
      <c r="E20" s="203"/>
      <c r="F20" s="203"/>
      <c r="G20" s="203"/>
      <c r="H20" s="203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19" t="s">
        <v>159</v>
      </c>
      <c r="B21" s="230"/>
      <c r="C21" s="230"/>
      <c r="D21" s="230"/>
      <c r="E21" s="230"/>
      <c r="F21" s="230"/>
      <c r="G21" s="230"/>
      <c r="H21" s="230"/>
      <c r="I21" s="264"/>
      <c r="J21" s="264"/>
      <c r="K21" s="265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/>
      <c r="K22" s="7"/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>
        <v>4118192</v>
      </c>
      <c r="K24" s="7">
        <v>5806482</v>
      </c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02" t="s">
        <v>168</v>
      </c>
      <c r="B27" s="203"/>
      <c r="C27" s="203"/>
      <c r="D27" s="203"/>
      <c r="E27" s="203"/>
      <c r="F27" s="203"/>
      <c r="G27" s="203"/>
      <c r="H27" s="203"/>
      <c r="I27" s="1">
        <v>20</v>
      </c>
      <c r="J27" s="132">
        <f>SUM(J22:J26)</f>
        <v>4118192</v>
      </c>
      <c r="K27" s="127">
        <f>SUM(K22:K26)</f>
        <v>5806482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356332622</v>
      </c>
      <c r="K28" s="7">
        <v>357325935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>
        <v>52141891</v>
      </c>
      <c r="K30" s="7">
        <v>16530469</v>
      </c>
    </row>
    <row r="31" spans="1:11" ht="12.75">
      <c r="A31" s="202" t="s">
        <v>5</v>
      </c>
      <c r="B31" s="203"/>
      <c r="C31" s="203"/>
      <c r="D31" s="203"/>
      <c r="E31" s="203"/>
      <c r="F31" s="203"/>
      <c r="G31" s="203"/>
      <c r="H31" s="203"/>
      <c r="I31" s="1">
        <v>24</v>
      </c>
      <c r="J31" s="132">
        <f>SUM(J28:J30)</f>
        <v>408474513</v>
      </c>
      <c r="K31" s="127">
        <f>SUM(K28:K30)</f>
        <v>373856404</v>
      </c>
    </row>
    <row r="32" spans="1:11" ht="12.75">
      <c r="A32" s="202" t="s">
        <v>38</v>
      </c>
      <c r="B32" s="203"/>
      <c r="C32" s="203"/>
      <c r="D32" s="203"/>
      <c r="E32" s="203"/>
      <c r="F32" s="203"/>
      <c r="G32" s="203"/>
      <c r="H32" s="203"/>
      <c r="I32" s="1">
        <v>25</v>
      </c>
      <c r="J32" s="132">
        <f>IF(J27&gt;J31,J27-J31,0)</f>
        <v>0</v>
      </c>
      <c r="K32" s="53">
        <f>IF(K27&gt;K31,K27-K31,0)</f>
        <v>0</v>
      </c>
    </row>
    <row r="33" spans="1:11" ht="12.75">
      <c r="A33" s="202" t="s">
        <v>39</v>
      </c>
      <c r="B33" s="203"/>
      <c r="C33" s="203"/>
      <c r="D33" s="203"/>
      <c r="E33" s="203"/>
      <c r="F33" s="203"/>
      <c r="G33" s="203"/>
      <c r="H33" s="203"/>
      <c r="I33" s="1">
        <v>26</v>
      </c>
      <c r="J33" s="132">
        <f>IF(J31&gt;J27,J31-J27,0)</f>
        <v>404356321</v>
      </c>
      <c r="K33" s="127">
        <f>IF(K31&gt;K27,K31-K27,0)</f>
        <v>368049922</v>
      </c>
    </row>
    <row r="34" spans="1:11" ht="12.75">
      <c r="A34" s="219" t="s">
        <v>160</v>
      </c>
      <c r="B34" s="230"/>
      <c r="C34" s="230"/>
      <c r="D34" s="230"/>
      <c r="E34" s="230"/>
      <c r="F34" s="230"/>
      <c r="G34" s="230"/>
      <c r="H34" s="230"/>
      <c r="I34" s="264"/>
      <c r="J34" s="264"/>
      <c r="K34" s="265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7"/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02" t="s">
        <v>68</v>
      </c>
      <c r="B38" s="203"/>
      <c r="C38" s="203"/>
      <c r="D38" s="203"/>
      <c r="E38" s="203"/>
      <c r="F38" s="203"/>
      <c r="G38" s="203"/>
      <c r="H38" s="203"/>
      <c r="I38" s="1">
        <v>30</v>
      </c>
      <c r="J38" s="63">
        <f>SUM(J35:J37)</f>
        <v>0</v>
      </c>
      <c r="K38" s="53">
        <f>SUM(K35:K37)</f>
        <v>0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/>
      <c r="K39" s="7"/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>
        <v>166263570</v>
      </c>
      <c r="K40" s="7"/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02" t="s">
        <v>69</v>
      </c>
      <c r="B44" s="203"/>
      <c r="C44" s="203"/>
      <c r="D44" s="203"/>
      <c r="E44" s="203"/>
      <c r="F44" s="203"/>
      <c r="G44" s="203"/>
      <c r="H44" s="203"/>
      <c r="I44" s="1">
        <v>36</v>
      </c>
      <c r="J44" s="63">
        <f>SUM(J39:J43)</f>
        <v>166263570</v>
      </c>
      <c r="K44" s="53">
        <f>SUM(K39:K43)</f>
        <v>0</v>
      </c>
    </row>
    <row r="45" spans="1:11" ht="12.75">
      <c r="A45" s="202" t="s">
        <v>17</v>
      </c>
      <c r="B45" s="203"/>
      <c r="C45" s="203"/>
      <c r="D45" s="203"/>
      <c r="E45" s="203"/>
      <c r="F45" s="203"/>
      <c r="G45" s="203"/>
      <c r="H45" s="203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02" t="s">
        <v>18</v>
      </c>
      <c r="B46" s="203"/>
      <c r="C46" s="203"/>
      <c r="D46" s="203"/>
      <c r="E46" s="203"/>
      <c r="F46" s="203"/>
      <c r="G46" s="203"/>
      <c r="H46" s="203"/>
      <c r="I46" s="1">
        <v>38</v>
      </c>
      <c r="J46" s="132">
        <f>IF(J44&gt;J38,J44-J38,0)</f>
        <v>166263570</v>
      </c>
      <c r="K46" s="127">
        <f>IF(K44&gt;K38,K44-K38,0)</f>
        <v>0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63">
        <f>IF(J20-J19+J33-J32+J46-J45&gt;0,J20-J19+J33-J32+J46-J45,0)</f>
        <v>274446792</v>
      </c>
      <c r="K48" s="53">
        <f>IF(K20-K19+K33-K32+K46-K45&gt;0,K20-K19+K33-K32+K46-K45,0)</f>
        <v>54913211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823297729</v>
      </c>
      <c r="K49" s="7">
        <v>571529916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>
        <v>274446792</v>
      </c>
      <c r="K51" s="7">
        <v>54913211</v>
      </c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64">
        <f>J49+J50-J51</f>
        <v>548850937</v>
      </c>
      <c r="K52" s="60">
        <f>K49+K50-K51</f>
        <v>516616705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9" sqref="A49:H4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5" t="s">
        <v>279</v>
      </c>
      <c r="J4" s="66" t="s">
        <v>319</v>
      </c>
      <c r="K4" s="66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1">
        <v>2</v>
      </c>
      <c r="J5" s="72" t="s">
        <v>283</v>
      </c>
      <c r="K5" s="72" t="s">
        <v>284</v>
      </c>
    </row>
    <row r="6" spans="1:11" ht="12.75">
      <c r="A6" s="219" t="s">
        <v>156</v>
      </c>
      <c r="B6" s="230"/>
      <c r="C6" s="230"/>
      <c r="D6" s="230"/>
      <c r="E6" s="230"/>
      <c r="F6" s="230"/>
      <c r="G6" s="230"/>
      <c r="H6" s="230"/>
      <c r="I6" s="264"/>
      <c r="J6" s="264"/>
      <c r="K6" s="265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02" t="s">
        <v>198</v>
      </c>
      <c r="B12" s="203"/>
      <c r="C12" s="203"/>
      <c r="D12" s="203"/>
      <c r="E12" s="203"/>
      <c r="F12" s="203"/>
      <c r="G12" s="203"/>
      <c r="H12" s="203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02" t="s">
        <v>47</v>
      </c>
      <c r="B19" s="203"/>
      <c r="C19" s="203"/>
      <c r="D19" s="203"/>
      <c r="E19" s="203"/>
      <c r="F19" s="203"/>
      <c r="G19" s="203"/>
      <c r="H19" s="203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2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6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9" t="s">
        <v>159</v>
      </c>
      <c r="B22" s="230"/>
      <c r="C22" s="230"/>
      <c r="D22" s="230"/>
      <c r="E22" s="230"/>
      <c r="F22" s="230"/>
      <c r="G22" s="230"/>
      <c r="H22" s="230"/>
      <c r="I22" s="264"/>
      <c r="J22" s="264"/>
      <c r="K22" s="265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321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02" t="s">
        <v>114</v>
      </c>
      <c r="B28" s="203"/>
      <c r="C28" s="203"/>
      <c r="D28" s="203"/>
      <c r="E28" s="203"/>
      <c r="F28" s="203"/>
      <c r="G28" s="203"/>
      <c r="H28" s="203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02" t="s">
        <v>48</v>
      </c>
      <c r="B32" s="203"/>
      <c r="C32" s="203"/>
      <c r="D32" s="203"/>
      <c r="E32" s="203"/>
      <c r="F32" s="203"/>
      <c r="G32" s="203"/>
      <c r="H32" s="203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2" t="s">
        <v>110</v>
      </c>
      <c r="B33" s="203"/>
      <c r="C33" s="203"/>
      <c r="D33" s="203"/>
      <c r="E33" s="203"/>
      <c r="F33" s="203"/>
      <c r="G33" s="203"/>
      <c r="H33" s="203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2" t="s">
        <v>111</v>
      </c>
      <c r="B34" s="203"/>
      <c r="C34" s="203"/>
      <c r="D34" s="203"/>
      <c r="E34" s="203"/>
      <c r="F34" s="203"/>
      <c r="G34" s="203"/>
      <c r="H34" s="203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9" t="s">
        <v>160</v>
      </c>
      <c r="B35" s="230"/>
      <c r="C35" s="230"/>
      <c r="D35" s="230"/>
      <c r="E35" s="230"/>
      <c r="F35" s="230"/>
      <c r="G35" s="230"/>
      <c r="H35" s="230"/>
      <c r="I35" s="264">
        <v>0</v>
      </c>
      <c r="J35" s="264"/>
      <c r="K35" s="265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02" t="s">
        <v>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02" t="s">
        <v>148</v>
      </c>
      <c r="B45" s="203"/>
      <c r="C45" s="203"/>
      <c r="D45" s="203"/>
      <c r="E45" s="203"/>
      <c r="F45" s="203"/>
      <c r="G45" s="203"/>
      <c r="H45" s="203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2" t="s">
        <v>162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2" t="s">
        <v>163</v>
      </c>
      <c r="B47" s="203"/>
      <c r="C47" s="203"/>
      <c r="D47" s="203"/>
      <c r="E47" s="203"/>
      <c r="F47" s="203"/>
      <c r="G47" s="203"/>
      <c r="H47" s="203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2" t="s">
        <v>149</v>
      </c>
      <c r="B48" s="203"/>
      <c r="C48" s="203"/>
      <c r="D48" s="203"/>
      <c r="E48" s="203"/>
      <c r="F48" s="203"/>
      <c r="G48" s="203"/>
      <c r="H48" s="203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2" t="s">
        <v>15</v>
      </c>
      <c r="B49" s="203"/>
      <c r="C49" s="203"/>
      <c r="D49" s="203"/>
      <c r="E49" s="203"/>
      <c r="F49" s="203"/>
      <c r="G49" s="203"/>
      <c r="H49" s="203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2" t="s">
        <v>161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.75">
      <c r="A51" s="202" t="s">
        <v>175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176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49" sqref="A49:H49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1.421875" style="75" customWidth="1"/>
    <col min="11" max="11" width="10.8515625" style="75" bestFit="1" customWidth="1"/>
    <col min="12" max="16384" width="9.140625" style="75" customWidth="1"/>
  </cols>
  <sheetData>
    <row r="1" spans="1:12" ht="12.75">
      <c r="A1" s="279" t="s">
        <v>281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4"/>
    </row>
    <row r="2" spans="1:12" ht="15.75">
      <c r="A2" s="42"/>
      <c r="B2" s="73"/>
      <c r="C2" s="289" t="s">
        <v>282</v>
      </c>
      <c r="D2" s="289"/>
      <c r="E2" s="76" t="s">
        <v>342</v>
      </c>
      <c r="F2" s="43" t="s">
        <v>250</v>
      </c>
      <c r="G2" s="290" t="s">
        <v>343</v>
      </c>
      <c r="H2" s="291"/>
      <c r="I2" s="73"/>
      <c r="J2" s="73"/>
      <c r="K2" s="73"/>
      <c r="L2" s="77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79" t="s">
        <v>305</v>
      </c>
      <c r="J3" s="80" t="s">
        <v>150</v>
      </c>
      <c r="K3" s="80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2">
        <v>2</v>
      </c>
      <c r="J4" s="81" t="s">
        <v>283</v>
      </c>
      <c r="K4" s="81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2952437940</v>
      </c>
      <c r="K5" s="45">
        <v>2952437940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46">
        <v>53585</v>
      </c>
      <c r="K6" s="46">
        <v>53585</v>
      </c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304636263</v>
      </c>
      <c r="K7" s="46">
        <v>457274564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46">
        <v>326411157</v>
      </c>
      <c r="K8" s="46">
        <v>464512478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193269865</v>
      </c>
      <c r="K9" s="46">
        <v>228066603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/>
      <c r="K10" s="46"/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/>
      <c r="K12" s="46"/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/>
      <c r="K13" s="46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127">
        <f>SUM(J5:J13)</f>
        <v>3776808810</v>
      </c>
      <c r="K14" s="127">
        <f>SUM(K5:K13)</f>
        <v>4102345170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/>
      <c r="K15" s="46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302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/>
      <c r="K23" s="45"/>
    </row>
    <row r="24" spans="1:11" ht="17.25" customHeight="1">
      <c r="A24" s="275" t="s">
        <v>303</v>
      </c>
      <c r="B24" s="276"/>
      <c r="C24" s="276"/>
      <c r="D24" s="276"/>
      <c r="E24" s="276"/>
      <c r="F24" s="276"/>
      <c r="G24" s="276"/>
      <c r="H24" s="276"/>
      <c r="I24" s="48">
        <v>19</v>
      </c>
      <c r="J24" s="78"/>
      <c r="K24" s="78"/>
    </row>
    <row r="25" spans="1:11" ht="30" customHeight="1">
      <c r="A25" s="277" t="s">
        <v>304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9" sqref="A49:H4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Briski-Vuljak</cp:lastModifiedBy>
  <cp:lastPrinted>2018-10-30T11:15:10Z</cp:lastPrinted>
  <dcterms:created xsi:type="dcterms:W3CDTF">2008-10-17T11:51:54Z</dcterms:created>
  <dcterms:modified xsi:type="dcterms:W3CDTF">2018-10-30T11:53:07Z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