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<sst xmlns="http://schemas.openxmlformats.org/spreadsheetml/2006/main" count="398" uniqueCount="348">
  <si>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</si>
  <si>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</si>
  <si>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</si>
  <si>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</si>
  <si>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</si>
  <si>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</si>
  <si>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</si>
  <si>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</si>
  <si>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</si>
  <si>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</si>
  <si>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</si>
  <si>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</si>
  <si>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</si>
  <si>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</si>
  <si>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</si>
  <si>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</si>
  <si>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</si>
  <si>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</si>
  <si>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</si>
  <si>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</si>
  <si>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</si>
  <si>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</si>
  <si>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</si>
  <si>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</si>
  <si>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</si>
  <si>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</si>
  <si>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</si>
  <si>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</si>
  <si>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</si>
  <si>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</si>
  <si>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</si>
  <si>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</si>
  <si>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</si>
  <si>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</si>
  <si>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</si>
  <si>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</si>
  <si>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</si>
  <si>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</si>
  <si>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</si>
  <si>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</si>
  <si>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</si>
  <si>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</si>
  <si>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</si>
  <si>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</si>
  <si>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</si>
  <si>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</si>
  <si>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</si>
  <si>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</si>
  <si>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</si>
  <si>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</si>
  <si>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</si>
  <si>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</si>
  <si>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</si>
  <si>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</si>
  <si>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</si>
  <si>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</si>
  <si>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</si>
  <si>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</si>
  <si>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</si>
  <si>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</si>
  <si>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</si>
  <si>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</si>
  <si>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</si>
  <si>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</si>
  <si>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</si>
  <si>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</si>
  <si>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</si>
  <si>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</si>
  <si>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</si>
  <si>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</si>
  <si>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</si>
  <si>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</si>
  <si>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</si>
  <si>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</si>
  <si>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</si>
  <si>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</si>
  <si>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</si>
  <si>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</si>
  <si>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</si>
  <si>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</si>
  <si>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</si>
  <si>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</si>
  <si>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</si>
  <si>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</si>
  <si>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</si>
  <si>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</si>
  <si>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</si>
  <si>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</si>
  <si>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</si>
  <si>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</si>
  <si>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</si>
  <si>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</si>
  <si>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</si>
  <si>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</si>
  <si>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</si>
  <si>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</si>
  <si>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</si>
  <si>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</si>
  <si>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</si>
  <si>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</si>
  <si>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</si>
  <si>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</si>
  <si>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</si>
  <si>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</si>
  <si>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</si>
  <si>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</si>
  <si>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</si>
  <si>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</si>
  <si>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</si>
  <si>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</si>
  <si>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</si>
  <si>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</si>
  <si>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</si>
  <si>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</si>
  <si>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</si>
  <si>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</si>
  <si>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</si>
  <si>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</si>
  <si>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</si>
  <si>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</si>
  <si>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</si>
  <si>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</si>
  <si>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</si>
  <si>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</si>
  <si>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</si>
  <si>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</si>
  <si>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</si>
  <si>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</si>
  <si>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</si>
  <si>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</si>
  <si>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</si>
  <si>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</si>
  <si>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</si>
  <si>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</si>
  <si>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</si>
  <si>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</si>
  <si>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</si>
  <si>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</si>
  <si>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</si>
  <si>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</si>
  <si>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</si>
  <si>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</si>
  <si>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</si>
  <si>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</si>
  <si>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</si>
  <si>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</si>
  <si>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</si>
  <si>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</si>
  <si>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</si>
  <si>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</si>
  <si>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</si>
  <si>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</si>
  <si>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</si>
  <si>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</si>
  <si>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</si>
  <si>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</si>
  <si>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</si>
  <si>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</si>
  <si>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</si>
  <si>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</si>
  <si>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</si>
  <si>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</si>
  <si>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</si>
  <si>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</si>
  <si>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</si>
  <si>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</si>
  <si>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</si>
  <si>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</si>
  <si>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</si>
  <si>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</si>
  <si>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</si>
  <si>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</si>
  <si>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</si>
  <si>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</si>
  <si>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</si>
  <si>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</si>
  <si>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</si>
  <si>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</si>
  <si>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</si>
  <si>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</si>
  <si>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</si>
  <si>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</si>
  <si>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</si>
  <si>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</si>
  <si>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</si>
  <si>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</si>
  <si>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</si>
  <si>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</si>
  <si>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</si>
  <si>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</si>
  <si>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</si>
  <si>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</si>
  <si>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</si>
  <si>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</si>
  <si>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</si>
  <si>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</si>
  <si>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</si>
  <si>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</si>
  <si>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</si>
  <si>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</si>
  <si>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</si>
  <si>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</si>
  <si>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</si>
  <si>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</si>
  <si>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</si>
  <si>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</si>
  <si>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</si>
  <si>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</si>
  <si>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</si>
  <si>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</si>
  <si>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</si>
  <si>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</si>
  <si>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</si>
  <si>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</si>
  <si>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</si>
  <si>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</si>
  <si>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</si>
  <si>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</si>
  <si>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</si>
  <si>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</si>
  <si>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</si>
  <si>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</si>
  <si>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</si>
  <si>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</si>
  <si>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</si>
  <si>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</si>
  <si>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</si>
  <si>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</si>
  <si>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</si>
  <si>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</si>
  <si>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</si>
  <si>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</si>
  <si>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</si>
  <si>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</si>
  <si>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</si>
  <si>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</si>
  <si>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</si>
  <si>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</si>
  <si>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</si>
  <si>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</si>
  <si>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</si>
  <si>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</si>
  <si>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</si>
  <si>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</si>
  <si>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</si>
  <si>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</si>
  <si>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</si>
  <si>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</si>
  <si>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</si>
  <si>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</si>
  <si>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</si>
  <si>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</si>
  <si>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</si>
  <si>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</si>
  <si>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</si>
  <si>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</si>
  <si>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</si>
  <si>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</si>
  <si>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</si>
  <si>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</si>
  <si>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</si>
  <si>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</si>
  <si>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</si>
  <si>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</si>
  <si>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</si>
  <si>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</si>
  <si>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</si>
  <si>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</si>
  <si>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</si>
  <si>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</si>
  <si>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</si>
  <si>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</si>
  <si>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</si>
  <si>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</si>
  <si>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</si>
  <si>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</si>
  <si>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</si>
  <si>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</si>
  <si>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</si>
  <si>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</si>
  <si>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</si>
  <si>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</si>
  <si>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</si>
  <si>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</si>
  <si>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</si>
  <si>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</si>
  <si>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</si>
  <si>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</si>
  <si>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</si>
  <si>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</si>
  <si>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</si>
  <si>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</si>
  <si>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</si>
  <si>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</si>
  <si>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</si>
  <si>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</si>
  <si>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</si>
  <si>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</si>
  <si>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</si>
  <si>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</si>
  <si>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</si>
  <si>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</si>
  <si>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</si>
  <si>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</si>
  <si>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</si>
  <si>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</si>
  <si>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</si>
  <si>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</si>
  <si>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</si>
  <si>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</si>
  <si>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</si>
  <si>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</si>
  <si>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</si>
  <si>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</si>
  <si>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</si>
  <si>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</si>
  <si>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</si>
  <si>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</si>
  <si>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</si>
  <si>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</si>
  <si>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</si>
  <si>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</si>
  <si>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</si>
  <si>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03334171</t>
  </si>
  <si>
    <t>080118427</t>
  </si>
  <si>
    <t>89018712265</t>
  </si>
  <si>
    <t>JADRANSKI  NAFTOVOD  DD</t>
  </si>
  <si>
    <t>ZAGREB</t>
  </si>
  <si>
    <t>MIRAMARSKA CESTA 24</t>
  </si>
  <si>
    <t>janaf@janaf.hr</t>
  </si>
  <si>
    <t>www.janaf.hr</t>
  </si>
  <si>
    <t>NE</t>
  </si>
  <si>
    <t>4950</t>
  </si>
  <si>
    <t>MIRJANA  MATAIJA</t>
  </si>
  <si>
    <t>013039369</t>
  </si>
  <si>
    <t>013039423</t>
  </si>
  <si>
    <t>mirjana.mataija@janaf.hr</t>
  </si>
  <si>
    <t>DRAGAN  KOVAČEVIĆ</t>
  </si>
  <si>
    <t>Obveznik:   JADRANSKI NAFTOVOD DD</t>
  </si>
  <si>
    <t>Obveznik:   JADRANSKI  NAFTOVOD DD</t>
  </si>
  <si>
    <t>Obveznik: JADRANSKI NAFTOVOD DD</t>
  </si>
  <si>
    <t>,</t>
  </si>
  <si>
    <t>01.01.2018.</t>
  </si>
  <si>
    <t>1.1.2018.</t>
  </si>
  <si>
    <t>31.12.2018.</t>
  </si>
  <si>
    <t>stanje na dan  31.12.2018.</t>
  </si>
  <si>
    <t>u razdoblju od 1.1.2018. do  31.12.2018.</t>
  </si>
  <si>
    <t>u razdoblju  od  1.1.2018.  do 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</si>
</sst>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I31" sqref="I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18" t="s">
        <v>342</v>
      </c>
      <c r="F2" s="12"/>
      <c r="G2" s="13" t="s">
        <v>250</v>
      </c>
      <c r="H2" s="118" t="s">
        <v>344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251</v>
      </c>
      <c r="B6" s="141"/>
      <c r="C6" s="155" t="s">
        <v>323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3" t="s">
        <v>252</v>
      </c>
      <c r="B8" s="194"/>
      <c r="C8" s="155" t="s">
        <v>324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85"/>
      <c r="C10" s="155" t="s">
        <v>325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254</v>
      </c>
      <c r="B12" s="141"/>
      <c r="C12" s="157" t="s">
        <v>326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255</v>
      </c>
      <c r="B14" s="141"/>
      <c r="C14" s="183">
        <v>10000</v>
      </c>
      <c r="D14" s="184"/>
      <c r="E14" s="16"/>
      <c r="F14" s="157" t="s">
        <v>327</v>
      </c>
      <c r="G14" s="182"/>
      <c r="H14" s="18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256</v>
      </c>
      <c r="B16" s="141"/>
      <c r="C16" s="157" t="s">
        <v>328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257</v>
      </c>
      <c r="B18" s="141"/>
      <c r="C18" s="178" t="s">
        <v>329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0" t="s">
        <v>258</v>
      </c>
      <c r="B20" s="141"/>
      <c r="C20" s="178" t="s">
        <v>330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259</v>
      </c>
      <c r="B22" s="141"/>
      <c r="C22" s="119">
        <v>133</v>
      </c>
      <c r="D22" s="157"/>
      <c r="E22" s="168"/>
      <c r="F22" s="169"/>
      <c r="G22" s="140"/>
      <c r="H22" s="18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260</v>
      </c>
      <c r="B24" s="141"/>
      <c r="C24" s="119">
        <v>21</v>
      </c>
      <c r="D24" s="157"/>
      <c r="E24" s="168"/>
      <c r="F24" s="168"/>
      <c r="G24" s="169"/>
      <c r="H24" s="51" t="s">
        <v>261</v>
      </c>
      <c r="I24" s="120">
        <v>380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0" t="s">
        <v>262</v>
      </c>
      <c r="B26" s="141"/>
      <c r="C26" s="121" t="s">
        <v>331</v>
      </c>
      <c r="D26" s="25"/>
      <c r="E26" s="33"/>
      <c r="F26" s="24"/>
      <c r="G26" s="170" t="s">
        <v>263</v>
      </c>
      <c r="H26" s="141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1"/>
      <c r="B37" s="30"/>
      <c r="C37" s="160"/>
      <c r="D37" s="161"/>
      <c r="E37" s="16"/>
      <c r="F37" s="160"/>
      <c r="G37" s="161"/>
      <c r="H37" s="16"/>
      <c r="I37" s="9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0"/>
      <c r="D45" s="161"/>
      <c r="E45" s="16"/>
      <c r="F45" s="160"/>
      <c r="G45" s="162"/>
      <c r="H45" s="35"/>
      <c r="I45" s="105"/>
      <c r="J45" s="10"/>
      <c r="K45" s="10"/>
      <c r="L45" s="10"/>
    </row>
    <row r="46" spans="1:12" ht="12.75">
      <c r="A46" s="135" t="s">
        <v>268</v>
      </c>
      <c r="B46" s="136"/>
      <c r="C46" s="157" t="s">
        <v>333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36"/>
      <c r="C48" s="142" t="s">
        <v>334</v>
      </c>
      <c r="D48" s="138"/>
      <c r="E48" s="139"/>
      <c r="F48" s="16"/>
      <c r="G48" s="51" t="s">
        <v>271</v>
      </c>
      <c r="H48" s="142" t="s">
        <v>335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36"/>
      <c r="C50" s="137" t="s">
        <v>336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272</v>
      </c>
      <c r="B52" s="141"/>
      <c r="C52" s="142" t="s">
        <v>337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6"/>
      <c r="B53" s="20"/>
      <c r="C53" s="151" t="s">
        <v>273</v>
      </c>
      <c r="D53" s="151"/>
      <c r="E53" s="151"/>
      <c r="F53" s="151"/>
      <c r="G53" s="151"/>
      <c r="H53" s="15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4" t="s">
        <v>274</v>
      </c>
      <c r="C55" s="145"/>
      <c r="D55" s="145"/>
      <c r="E55" s="14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6"/>
      <c r="B57" s="146" t="s">
        <v>307</v>
      </c>
      <c r="C57" s="147"/>
      <c r="D57" s="147"/>
      <c r="E57" s="147"/>
      <c r="F57" s="147"/>
      <c r="G57" s="147"/>
      <c r="H57" s="147"/>
      <c r="I57" s="108"/>
      <c r="J57" s="10"/>
      <c r="K57" s="10"/>
      <c r="L57" s="10"/>
    </row>
    <row r="58" spans="1:12" ht="12.75">
      <c r="A58" s="106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6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9">
      <selection activeCell="K63" sqref="K63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338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59</v>
      </c>
      <c r="B4" s="211"/>
      <c r="C4" s="211"/>
      <c r="D4" s="211"/>
      <c r="E4" s="211"/>
      <c r="F4" s="211"/>
      <c r="G4" s="211"/>
      <c r="H4" s="212"/>
      <c r="I4" s="57" t="s">
        <v>278</v>
      </c>
      <c r="J4" s="58" t="s">
        <v>319</v>
      </c>
      <c r="K4" s="59" t="s">
        <v>320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6">
        <v>2</v>
      </c>
      <c r="J5" s="55">
        <v>3</v>
      </c>
      <c r="K5" s="55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127">
        <f>J9+J16+J26+J35+J39</f>
        <v>3352156666</v>
      </c>
      <c r="K8" s="127">
        <f>K9+K16+K26+K35+K39</f>
        <v>3728085776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126474099</v>
      </c>
      <c r="K9" s="53">
        <f>K11+K14</f>
        <v>120170536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114724709</v>
      </c>
      <c r="K11" s="7">
        <v>104774558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11749390</v>
      </c>
      <c r="K14" s="7">
        <v>15395978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3224767709</v>
      </c>
      <c r="K16" s="53">
        <f>SUM(K17:K25)</f>
        <v>3550033555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384953189</v>
      </c>
      <c r="K17" s="7">
        <v>377131731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1401575843</v>
      </c>
      <c r="K18" s="7">
        <v>1414057026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530682992</v>
      </c>
      <c r="K19" s="7">
        <v>531997515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23787607</v>
      </c>
      <c r="K20" s="7">
        <v>24568211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12629571</v>
      </c>
      <c r="K22" s="7">
        <v>11436834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634273252</v>
      </c>
      <c r="K23" s="7">
        <v>948312307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236865255</v>
      </c>
      <c r="K24" s="7">
        <v>242529931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147833</v>
      </c>
      <c r="K26" s="53">
        <f>SUM(K27:K34)</f>
        <v>50164499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147833</v>
      </c>
      <c r="K27" s="7">
        <v>164499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/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>
        <v>50000000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44052</v>
      </c>
      <c r="K35" s="53">
        <f>SUM(K36:K38)</f>
        <v>103890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44052</v>
      </c>
      <c r="K37" s="7">
        <v>103890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722973</v>
      </c>
      <c r="K39" s="7">
        <v>7613296</v>
      </c>
    </row>
    <row r="40" spans="1:11" ht="12.75">
      <c r="A40" s="202" t="s">
        <v>240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7">
        <f>J41+J49+J56+J64</f>
        <v>753068587</v>
      </c>
      <c r="K40" s="127">
        <f>K41+K49+K56+K64</f>
        <v>692863877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17808158</v>
      </c>
      <c r="K41" s="53">
        <f>SUM(K42:K48)</f>
        <v>21449744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17808158</v>
      </c>
      <c r="K42" s="7">
        <v>21449744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/>
      <c r="K45" s="7"/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63392399</v>
      </c>
      <c r="K49" s="53">
        <f>SUM(K50:K55)</f>
        <v>56427746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9072</v>
      </c>
      <c r="K50" s="7">
        <v>4982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61064701</v>
      </c>
      <c r="K51" s="7">
        <v>54559106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14595</v>
      </c>
      <c r="K53" s="7">
        <v>10857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7411</v>
      </c>
      <c r="K54" s="7">
        <v>5636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2296620</v>
      </c>
      <c r="K55" s="7">
        <v>1847165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100338114</v>
      </c>
      <c r="K56" s="53">
        <f>SUM(K57:K63)</f>
        <v>175962022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338114</v>
      </c>
      <c r="K58" s="7"/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100000000</v>
      </c>
      <c r="K62" s="7">
        <v>175962022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571529916</v>
      </c>
      <c r="K64" s="7">
        <v>439024365</v>
      </c>
    </row>
    <row r="65" spans="1:11" ht="12.75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6">
        <v>1938962</v>
      </c>
      <c r="K65" s="126">
        <v>1363136</v>
      </c>
    </row>
    <row r="66" spans="1:11" ht="12.75">
      <c r="A66" s="202" t="s">
        <v>241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7">
        <f>J7+J8+J40+J65</f>
        <v>4107164215</v>
      </c>
      <c r="K66" s="127">
        <f>K7+K8+K40+K65</f>
        <v>4422312789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128">
        <v>3441782209</v>
      </c>
      <c r="K67" s="128">
        <v>1991344171</v>
      </c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29">
        <f>J70+J71+J72+J78+J79+J82+J85</f>
        <v>3874278567</v>
      </c>
      <c r="K69" s="129">
        <f>K70+K71+K72+K78+K79+K82+K85</f>
        <v>4178021360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2952437940</v>
      </c>
      <c r="K70" s="7">
        <v>2952437940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53585</v>
      </c>
      <c r="K71" s="7">
        <v>53585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304636263</v>
      </c>
      <c r="K72" s="53">
        <f>K73+K74-K75+K76+K77</f>
        <v>457274564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67479591</v>
      </c>
      <c r="K73" s="7">
        <v>82016572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237156672</v>
      </c>
      <c r="K77" s="7">
        <v>375257992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326411157</v>
      </c>
      <c r="K79" s="53">
        <f>K80-K81</f>
        <v>464512478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326411157</v>
      </c>
      <c r="K80" s="7">
        <v>464512478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290739622</v>
      </c>
      <c r="K82" s="53">
        <f>K83-K84</f>
        <v>303742793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290739622</v>
      </c>
      <c r="K83" s="7">
        <v>303742793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7">
        <f>SUM(J87:J89)</f>
        <v>27806754</v>
      </c>
      <c r="K86" s="127">
        <f>SUM(K87:K89)</f>
        <v>14783693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8897360</v>
      </c>
      <c r="K87" s="7">
        <v>10266031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18909394</v>
      </c>
      <c r="K89" s="7">
        <v>4517662</v>
      </c>
    </row>
    <row r="90" spans="1:11" ht="12.75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7">
        <f>SUM(J91:J99)</f>
        <v>80098150</v>
      </c>
      <c r="K90" s="127">
        <f>SUM(K91:K99)</f>
        <v>82646312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/>
      <c r="K93" s="7"/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80098150</v>
      </c>
      <c r="K98" s="7">
        <v>82646312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7">
        <f>SUM(J101:J112)</f>
        <v>120847183</v>
      </c>
      <c r="K100" s="127">
        <f>SUM(K101:K112)</f>
        <v>143946337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513815</v>
      </c>
      <c r="K101" s="7">
        <v>690093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/>
      <c r="K103" s="7"/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500</v>
      </c>
      <c r="K104" s="7">
        <v>3000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100102542</v>
      </c>
      <c r="K105" s="7">
        <v>116384117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3852499</v>
      </c>
      <c r="K108" s="7">
        <v>4179782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15550690</v>
      </c>
      <c r="K109" s="7">
        <v>18767729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20095</v>
      </c>
      <c r="K110" s="7">
        <v>17019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807042</v>
      </c>
      <c r="K112" s="7">
        <v>3904597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6">
        <v>4133561</v>
      </c>
      <c r="K113" s="126">
        <v>2915087</v>
      </c>
    </row>
    <row r="114" spans="1:11" ht="12.75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7">
        <f>J69+J86+J90+J100+J113</f>
        <v>4107164215</v>
      </c>
      <c r="K114" s="127">
        <f>K69+K86+K90+K100+K113</f>
        <v>4422312789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128">
        <v>3441782209</v>
      </c>
      <c r="K115" s="128">
        <v>1991344171</v>
      </c>
    </row>
    <row r="116" spans="1:11" ht="12.75">
      <c r="A116" s="219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311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5" t="s">
        <v>154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9" t="s">
        <v>347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339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7" t="s">
        <v>279</v>
      </c>
      <c r="J4" s="242" t="s">
        <v>319</v>
      </c>
      <c r="K4" s="242"/>
      <c r="L4" s="242" t="s">
        <v>320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129">
        <f>J8+J9</f>
        <v>755330920</v>
      </c>
      <c r="K7" s="129">
        <f>K8+K9</f>
        <v>231752418</v>
      </c>
      <c r="L7" s="129">
        <f>L8+L9</f>
        <v>751896481</v>
      </c>
      <c r="M7" s="129">
        <f>M8+M9</f>
        <v>221851932</v>
      </c>
    </row>
    <row r="8" spans="1:13" ht="12.75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126">
        <v>701176443</v>
      </c>
      <c r="K8" s="126">
        <v>180015817</v>
      </c>
      <c r="L8" s="126">
        <v>719778565</v>
      </c>
      <c r="M8" s="126">
        <f>L8-521553396</f>
        <v>198225169</v>
      </c>
    </row>
    <row r="9" spans="1:13" ht="12.75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126">
        <v>54154477</v>
      </c>
      <c r="K9" s="126">
        <v>51736601</v>
      </c>
      <c r="L9" s="126">
        <v>32117916</v>
      </c>
      <c r="M9" s="126">
        <f>L9-8491153</f>
        <v>23626763</v>
      </c>
    </row>
    <row r="10" spans="1:13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27">
        <f>J11+J12+J16+J20+J21+J22+J25+J26</f>
        <v>391339813</v>
      </c>
      <c r="K10" s="127">
        <f>K11+K12+K16+K20+K21+K22+K25+K26</f>
        <v>105581510</v>
      </c>
      <c r="L10" s="127">
        <f>L11+L12+L16+L20+L21+L22+L25+L26</f>
        <v>405583813</v>
      </c>
      <c r="M10" s="127">
        <f>M11+M12+M16+M20+M21+M22+M25+M26</f>
        <v>147448516</v>
      </c>
    </row>
    <row r="11" spans="1:13" ht="12.75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27">
        <f>SUM(J13:J15)</f>
        <v>107176003</v>
      </c>
      <c r="K12" s="127">
        <f>SUM(K13:K15)</f>
        <v>34099945</v>
      </c>
      <c r="L12" s="127">
        <f>SUM(L13:L15)</f>
        <v>122744097</v>
      </c>
      <c r="M12" s="127">
        <f>SUM(M13:M15)</f>
        <v>41666793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33460923</v>
      </c>
      <c r="K13" s="7">
        <v>10707699</v>
      </c>
      <c r="L13" s="7">
        <v>38158198</v>
      </c>
      <c r="M13" s="7">
        <f>L13-27569122</f>
        <v>10589076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/>
      <c r="K14" s="7"/>
      <c r="L14" s="7"/>
      <c r="M14" s="7"/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73715080</v>
      </c>
      <c r="K15" s="7">
        <v>23392246</v>
      </c>
      <c r="L15" s="7">
        <v>84585899</v>
      </c>
      <c r="M15" s="7">
        <f>L15-53508182</f>
        <v>31077717</v>
      </c>
    </row>
    <row r="16" spans="1:13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27">
        <f>SUM(J17:J19)</f>
        <v>76505225</v>
      </c>
      <c r="K16" s="127">
        <f>SUM(K17:K19)</f>
        <v>21283247</v>
      </c>
      <c r="L16" s="127">
        <f>SUM(L17:L19)</f>
        <v>78077411</v>
      </c>
      <c r="M16" s="127">
        <f>SUM(M17:M19)</f>
        <v>20649982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43954665</v>
      </c>
      <c r="K17" s="7">
        <v>11946156</v>
      </c>
      <c r="L17" s="7">
        <v>44079245</v>
      </c>
      <c r="M17" s="7">
        <f>L17-32839468</f>
        <v>11239777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21210891</v>
      </c>
      <c r="K18" s="7">
        <v>6114882</v>
      </c>
      <c r="L18" s="7">
        <v>21891688</v>
      </c>
      <c r="M18" s="7">
        <f>L18-15709714</f>
        <v>6181974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11339669</v>
      </c>
      <c r="K19" s="7">
        <v>3222209</v>
      </c>
      <c r="L19" s="7">
        <v>12106478</v>
      </c>
      <c r="M19" s="7">
        <f>L19-8878247</f>
        <v>3228231</v>
      </c>
    </row>
    <row r="20" spans="1:13" ht="12.75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126">
        <v>169081932</v>
      </c>
      <c r="K20" s="126">
        <v>31552816</v>
      </c>
      <c r="L20" s="126">
        <v>134622335</v>
      </c>
      <c r="M20" s="126">
        <f>L20-100430048</f>
        <v>34192287</v>
      </c>
    </row>
    <row r="21" spans="1:13" ht="12.75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126">
        <v>25851032</v>
      </c>
      <c r="K21" s="126">
        <v>6440961</v>
      </c>
      <c r="L21" s="126">
        <v>26879415</v>
      </c>
      <c r="M21" s="126">
        <f>L21-18735419</f>
        <v>8143996</v>
      </c>
    </row>
    <row r="22" spans="1:13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127">
        <f>SUM(J23:J24)</f>
        <v>6620645</v>
      </c>
      <c r="K22" s="127">
        <f>SUM(K23:K24)</f>
        <v>6620645</v>
      </c>
      <c r="L22" s="127">
        <f>SUM(L23:L24)</f>
        <v>39324677</v>
      </c>
      <c r="M22" s="127">
        <f>SUM(M23:M24)</f>
        <v>39324677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>
        <v>8329289</v>
      </c>
      <c r="M23" s="7">
        <f>L23-0</f>
        <v>8329289</v>
      </c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6620645</v>
      </c>
      <c r="K24" s="7">
        <v>6620645</v>
      </c>
      <c r="L24" s="7">
        <v>30995388</v>
      </c>
      <c r="M24" s="7">
        <f>L24-0</f>
        <v>30995388</v>
      </c>
    </row>
    <row r="25" spans="1:13" ht="12.75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126">
        <v>2997388</v>
      </c>
      <c r="K25" s="126">
        <v>2997388</v>
      </c>
      <c r="L25" s="126">
        <v>3327269</v>
      </c>
      <c r="M25" s="126">
        <f>L25-0</f>
        <v>3327269</v>
      </c>
    </row>
    <row r="26" spans="1:13" ht="12.75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126">
        <v>3107588</v>
      </c>
      <c r="K26" s="126">
        <v>2586508</v>
      </c>
      <c r="L26" s="126">
        <v>608609</v>
      </c>
      <c r="M26" s="126">
        <f>L26-465097</f>
        <v>143512</v>
      </c>
    </row>
    <row r="27" spans="1:13" ht="12.75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27">
        <f>SUM(J28:J32)</f>
        <v>25448906</v>
      </c>
      <c r="K27" s="127">
        <f>SUM(K28:K32)</f>
        <v>19844378</v>
      </c>
      <c r="L27" s="127">
        <f>SUM(L28:L32)</f>
        <v>29960530</v>
      </c>
      <c r="M27" s="127">
        <f>SUM(M28:M32)</f>
        <v>22520929</v>
      </c>
    </row>
    <row r="28" spans="1:13" ht="12.75">
      <c r="A28" s="202" t="s">
        <v>227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126">
        <v>26082</v>
      </c>
      <c r="K28" s="126">
        <v>4452</v>
      </c>
      <c r="L28" s="126">
        <v>4091</v>
      </c>
      <c r="M28" s="126">
        <f>L28-3597</f>
        <v>494</v>
      </c>
    </row>
    <row r="29" spans="1:13" ht="12.75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126">
        <v>24514165</v>
      </c>
      <c r="K29" s="126">
        <v>19554730</v>
      </c>
      <c r="L29" s="126">
        <v>29956439</v>
      </c>
      <c r="M29" s="126">
        <f>L29-7436004</f>
        <v>22520435</v>
      </c>
    </row>
    <row r="30" spans="1:13" ht="12.75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126"/>
      <c r="K30" s="126"/>
      <c r="L30" s="126"/>
      <c r="M30" s="126"/>
    </row>
    <row r="31" spans="1:13" ht="12.75">
      <c r="A31" s="202" t="s">
        <v>223</v>
      </c>
      <c r="B31" s="203"/>
      <c r="C31" s="203"/>
      <c r="D31" s="203"/>
      <c r="E31" s="203"/>
      <c r="F31" s="203"/>
      <c r="G31" s="203"/>
      <c r="H31" s="204"/>
      <c r="I31" s="1">
        <v>135</v>
      </c>
      <c r="J31" s="126"/>
      <c r="K31" s="126"/>
      <c r="L31" s="126"/>
      <c r="M31" s="126"/>
    </row>
    <row r="32" spans="1:13" ht="12.75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126">
        <v>908659</v>
      </c>
      <c r="K32" s="126">
        <v>285196</v>
      </c>
      <c r="L32" s="126"/>
      <c r="M32" s="126"/>
    </row>
    <row r="33" spans="1:13" ht="12.75">
      <c r="A33" s="202" t="s">
        <v>214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27">
        <f>SUM(J34:J37)</f>
        <v>34770449</v>
      </c>
      <c r="K33" s="127">
        <f>SUM(K34:K37)</f>
        <v>27040679</v>
      </c>
      <c r="L33" s="127">
        <f>SUM(L34:L37)</f>
        <v>5628254</v>
      </c>
      <c r="M33" s="127">
        <f>SUM(M34:M37)</f>
        <v>4409404</v>
      </c>
    </row>
    <row r="34" spans="1:13" ht="12.75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126">
        <v>45</v>
      </c>
      <c r="K34" s="126">
        <v>45</v>
      </c>
      <c r="L34" s="126">
        <v>4463</v>
      </c>
      <c r="M34" s="126">
        <f>L34-447</f>
        <v>4016</v>
      </c>
    </row>
    <row r="35" spans="1:13" ht="12.75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126">
        <v>34770404</v>
      </c>
      <c r="K35" s="126">
        <v>27040634</v>
      </c>
      <c r="L35" s="126">
        <v>5623791</v>
      </c>
      <c r="M35" s="126">
        <f>L35-1218403</f>
        <v>4405388</v>
      </c>
    </row>
    <row r="36" spans="1:13" ht="12.75">
      <c r="A36" s="202" t="s">
        <v>224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126"/>
      <c r="K36" s="126"/>
      <c r="L36" s="126"/>
      <c r="M36" s="126"/>
    </row>
    <row r="37" spans="1:13" ht="12.75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126"/>
      <c r="K37" s="126"/>
      <c r="L37" s="126"/>
      <c r="M37" s="126"/>
    </row>
    <row r="38" spans="1:13" ht="12.75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225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226</v>
      </c>
      <c r="B41" s="203"/>
      <c r="C41" s="203"/>
      <c r="D41" s="203"/>
      <c r="E41" s="203"/>
      <c r="F41" s="203"/>
      <c r="G41" s="203"/>
      <c r="H41" s="204"/>
      <c r="I41" s="1">
        <v>145</v>
      </c>
      <c r="J41" s="126"/>
      <c r="K41" s="126"/>
      <c r="L41" s="126"/>
      <c r="M41" s="126"/>
    </row>
    <row r="42" spans="1:13" ht="12.75">
      <c r="A42" s="202" t="s">
        <v>215</v>
      </c>
      <c r="B42" s="203"/>
      <c r="C42" s="203"/>
      <c r="D42" s="203"/>
      <c r="E42" s="203"/>
      <c r="F42" s="203"/>
      <c r="G42" s="203"/>
      <c r="H42" s="204"/>
      <c r="I42" s="1">
        <v>146</v>
      </c>
      <c r="J42" s="127">
        <f>J7+J27+J38+J40</f>
        <v>780779826</v>
      </c>
      <c r="K42" s="127">
        <f>K7+K27+K38+K40</f>
        <v>251596796</v>
      </c>
      <c r="L42" s="127">
        <f>L7+L27+L38+L40</f>
        <v>781857011</v>
      </c>
      <c r="M42" s="127">
        <f>M7+M27+M38+M40</f>
        <v>244372861</v>
      </c>
    </row>
    <row r="43" spans="1:13" ht="12.75">
      <c r="A43" s="202" t="s">
        <v>216</v>
      </c>
      <c r="B43" s="203"/>
      <c r="C43" s="203"/>
      <c r="D43" s="203"/>
      <c r="E43" s="203"/>
      <c r="F43" s="203"/>
      <c r="G43" s="203"/>
      <c r="H43" s="204"/>
      <c r="I43" s="1">
        <v>147</v>
      </c>
      <c r="J43" s="127">
        <f>J10+J33+J39+J41</f>
        <v>426110262</v>
      </c>
      <c r="K43" s="127">
        <f>K10+K33+K39+K41</f>
        <v>132622189</v>
      </c>
      <c r="L43" s="127">
        <f>L10+L33+L39+L41</f>
        <v>411212067</v>
      </c>
      <c r="M43" s="127">
        <f>M10+M33+M39+M41</f>
        <v>151857920</v>
      </c>
    </row>
    <row r="44" spans="1:13" ht="12.75">
      <c r="A44" s="202" t="s">
        <v>236</v>
      </c>
      <c r="B44" s="203"/>
      <c r="C44" s="203"/>
      <c r="D44" s="203"/>
      <c r="E44" s="203"/>
      <c r="F44" s="203"/>
      <c r="G44" s="203"/>
      <c r="H44" s="204"/>
      <c r="I44" s="1">
        <v>148</v>
      </c>
      <c r="J44" s="127">
        <f>J42-J43</f>
        <v>354669564</v>
      </c>
      <c r="K44" s="127">
        <f>K42-K43</f>
        <v>118974607</v>
      </c>
      <c r="L44" s="127">
        <f>L42-L43</f>
        <v>370644944</v>
      </c>
      <c r="M44" s="127">
        <f>M42-M43</f>
        <v>92514941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354669564</v>
      </c>
      <c r="K45" s="53">
        <f>IF(K42&gt;K43,K42-K43,0)</f>
        <v>118974607</v>
      </c>
      <c r="L45" s="53">
        <f>IF(L42&gt;L43,L42-L43,0)</f>
        <v>370644944</v>
      </c>
      <c r="M45" s="53">
        <f>IF(M42&gt;M43,M42-M43,0)</f>
        <v>92514941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217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126">
        <v>63929942</v>
      </c>
      <c r="K47" s="126">
        <v>21504850</v>
      </c>
      <c r="L47" s="126">
        <v>66902151</v>
      </c>
      <c r="M47" s="126">
        <f>L47-50063400</f>
        <v>16838751</v>
      </c>
    </row>
    <row r="48" spans="1:13" ht="12.75">
      <c r="A48" s="202" t="s">
        <v>237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127">
        <f>J44-J47</f>
        <v>290739622</v>
      </c>
      <c r="K48" s="127">
        <f>K44-K47</f>
        <v>97469757</v>
      </c>
      <c r="L48" s="127">
        <f>L44-L47</f>
        <v>303742793</v>
      </c>
      <c r="M48" s="127">
        <f>M44-M47</f>
        <v>75676190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290739622</v>
      </c>
      <c r="K49" s="53">
        <f>IF(K48&gt;0,K48,0)</f>
        <v>97469757</v>
      </c>
      <c r="L49" s="53">
        <f>IF(L48&gt;0,L48,0)</f>
        <v>303742793</v>
      </c>
      <c r="M49" s="53">
        <f>IF(M48&gt;0,M48,0)</f>
        <v>75676190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9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9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01"/>
      <c r="I56" s="9">
        <v>157</v>
      </c>
      <c r="J56" s="130">
        <v>290739622</v>
      </c>
      <c r="K56" s="130">
        <v>97469757</v>
      </c>
      <c r="L56" s="130">
        <v>303742793</v>
      </c>
      <c r="M56" s="130">
        <v>75676190</v>
      </c>
    </row>
    <row r="57" spans="1:13" ht="12.75">
      <c r="A57" s="202" t="s">
        <v>221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228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229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230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231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232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233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222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131">
        <f>J56+J66</f>
        <v>290739622</v>
      </c>
      <c r="K67" s="131">
        <f>K56+K66</f>
        <v>97469757</v>
      </c>
      <c r="L67" s="131">
        <f>L56+L66</f>
        <v>303742793</v>
      </c>
      <c r="M67" s="131">
        <f>M56+M66</f>
        <v>75676190</v>
      </c>
    </row>
    <row r="68" spans="1:13" ht="12.75" customHeight="1">
      <c r="A68" s="253" t="s">
        <v>313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11" sqref="K11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340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7">
        <v>2</v>
      </c>
      <c r="J5" s="68" t="s">
        <v>283</v>
      </c>
      <c r="K5" s="68" t="s">
        <v>284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354669564</v>
      </c>
      <c r="K7" s="7">
        <v>370644944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169081932</v>
      </c>
      <c r="K8" s="7">
        <v>134622335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359129</v>
      </c>
      <c r="K9" s="7">
        <v>23099155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33331810</v>
      </c>
      <c r="K10" s="7">
        <v>6964653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>
        <v>11453277</v>
      </c>
    </row>
    <row r="13" spans="1:11" ht="12.75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132">
        <f>SUM(J7:J12)</f>
        <v>557442435</v>
      </c>
      <c r="K13" s="127">
        <f>SUM(K7:K12)</f>
        <v>546784364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>
        <v>507339</v>
      </c>
      <c r="K16" s="7">
        <v>3641586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138388050</v>
      </c>
      <c r="K17" s="7">
        <v>108848640</v>
      </c>
    </row>
    <row r="18" spans="1:11" ht="12.75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132">
        <f>SUM(J14:J17)</f>
        <v>138895389</v>
      </c>
      <c r="K18" s="127">
        <f>SUM(K14:K17)</f>
        <v>112490226</v>
      </c>
    </row>
    <row r="19" spans="1:11" ht="12.75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132">
        <f>IF(J13&gt;J18,J13-J18,0)</f>
        <v>418547046</v>
      </c>
      <c r="K19" s="127">
        <f>IF(K13&gt;K18,K13-K18,0)</f>
        <v>434294138</v>
      </c>
    </row>
    <row r="20" spans="1:11" ht="12.75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19" t="s">
        <v>159</v>
      </c>
      <c r="B21" s="230"/>
      <c r="C21" s="230"/>
      <c r="D21" s="230"/>
      <c r="E21" s="230"/>
      <c r="F21" s="230"/>
      <c r="G21" s="230"/>
      <c r="H21" s="230"/>
      <c r="I21" s="264"/>
      <c r="J21" s="264"/>
      <c r="K21" s="265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360</v>
      </c>
      <c r="K22" s="7"/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5398835</v>
      </c>
      <c r="K24" s="7">
        <v>15073450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>
        <v>591745</v>
      </c>
      <c r="K26" s="7">
        <v>338114</v>
      </c>
    </row>
    <row r="27" spans="1:11" ht="12.75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132">
        <f>SUM(J22:J26)</f>
        <v>5990940</v>
      </c>
      <c r="K27" s="127">
        <f>SUM(K22:K26)</f>
        <v>15411564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457900339</v>
      </c>
      <c r="K28" s="7">
        <v>456249231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>
        <v>50000000</v>
      </c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>
        <v>52141890</v>
      </c>
      <c r="K30" s="7">
        <v>75962022</v>
      </c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2">
        <f>SUM(J28:J30)</f>
        <v>510042229</v>
      </c>
      <c r="K31" s="127">
        <f>SUM(K28:K30)</f>
        <v>582211253</v>
      </c>
    </row>
    <row r="32" spans="1:11" ht="12.75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2">
        <f>IF(J27&gt;J31,J27-J31,0)</f>
        <v>0</v>
      </c>
      <c r="K32" s="53">
        <f>IF(K27&gt;K31,K27-K31,0)</f>
        <v>0</v>
      </c>
    </row>
    <row r="33" spans="1:11" ht="12.75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2">
        <f>IF(J31&gt;J27,J31-J27,0)</f>
        <v>504051289</v>
      </c>
      <c r="K33" s="127">
        <f>IF(K31&gt;K27,K31-K27,0)</f>
        <v>566799689</v>
      </c>
    </row>
    <row r="34" spans="1:11" ht="12.75">
      <c r="A34" s="219" t="s">
        <v>160</v>
      </c>
      <c r="B34" s="230"/>
      <c r="C34" s="230"/>
      <c r="D34" s="230"/>
      <c r="E34" s="230"/>
      <c r="F34" s="230"/>
      <c r="G34" s="230"/>
      <c r="H34" s="230"/>
      <c r="I34" s="264"/>
      <c r="J34" s="264"/>
      <c r="K34" s="265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/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>
        <v>166263570</v>
      </c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 t="s">
        <v>341</v>
      </c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63">
        <f>SUM(J39:J43)</f>
        <v>166263570</v>
      </c>
      <c r="K44" s="53">
        <f>SUM(K39:K43)</f>
        <v>0</v>
      </c>
    </row>
    <row r="45" spans="1:11" ht="12.75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132">
        <f>IF(J44&gt;J38,J44-J38,0)</f>
        <v>166263570</v>
      </c>
      <c r="K46" s="127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IF(J20-J19+J33-J32+J46-J45&gt;0,J20-J19+J33-J32+J46-J45,0)</f>
        <v>251767813</v>
      </c>
      <c r="K48" s="53">
        <f>IF(K20-K19+K33-K32+K46-K45&gt;0,K20-K19+K33-K32+K46-K45,0)</f>
        <v>132505551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823297729</v>
      </c>
      <c r="K49" s="7">
        <v>571529916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251767813</v>
      </c>
      <c r="K51" s="7">
        <v>132505551</v>
      </c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571529916</v>
      </c>
      <c r="K52" s="60">
        <f>K49+K50-K51</f>
        <v>439024365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1">
        <v>2</v>
      </c>
      <c r="J5" s="72" t="s">
        <v>283</v>
      </c>
      <c r="K5" s="72" t="s">
        <v>284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0"/>
      <c r="C22" s="230"/>
      <c r="D22" s="230"/>
      <c r="E22" s="230"/>
      <c r="F22" s="230"/>
      <c r="G22" s="230"/>
      <c r="H22" s="230"/>
      <c r="I22" s="264"/>
      <c r="J22" s="264"/>
      <c r="K22" s="265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0"/>
      <c r="C35" s="230"/>
      <c r="D35" s="230"/>
      <c r="E35" s="230"/>
      <c r="F35" s="230"/>
      <c r="G35" s="230"/>
      <c r="H35" s="230"/>
      <c r="I35" s="264">
        <v>0</v>
      </c>
      <c r="J35" s="264"/>
      <c r="K35" s="265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421875" style="75" customWidth="1"/>
    <col min="11" max="11" width="10.8515625" style="75" bestFit="1" customWidth="1"/>
    <col min="12" max="16384" width="9.140625" style="75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4"/>
    </row>
    <row r="2" spans="1:12" ht="15.75">
      <c r="A2" s="42"/>
      <c r="B2" s="73"/>
      <c r="C2" s="289" t="s">
        <v>282</v>
      </c>
      <c r="D2" s="289"/>
      <c r="E2" s="76" t="s">
        <v>343</v>
      </c>
      <c r="F2" s="43" t="s">
        <v>250</v>
      </c>
      <c r="G2" s="290" t="s">
        <v>344</v>
      </c>
      <c r="H2" s="291"/>
      <c r="I2" s="73"/>
      <c r="J2" s="73"/>
      <c r="K2" s="73"/>
      <c r="L2" s="77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79" t="s">
        <v>305</v>
      </c>
      <c r="J3" s="80" t="s">
        <v>150</v>
      </c>
      <c r="K3" s="80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2">
        <v>2</v>
      </c>
      <c r="J4" s="81" t="s">
        <v>283</v>
      </c>
      <c r="K4" s="81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2952437940</v>
      </c>
      <c r="K5" s="45">
        <v>2952437940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53585</v>
      </c>
      <c r="K6" s="46">
        <v>53585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304636263</v>
      </c>
      <c r="K7" s="46">
        <v>457274564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326411157</v>
      </c>
      <c r="K8" s="46">
        <v>464512478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290739622</v>
      </c>
      <c r="K9" s="46">
        <v>303742793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27">
        <f>SUM(J5:J13)</f>
        <v>3874278567</v>
      </c>
      <c r="K14" s="127">
        <f>SUM(K5:K13)</f>
        <v>4178021360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78"/>
      <c r="K24" s="78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Mataija</cp:lastModifiedBy>
  <cp:lastPrinted>2018-10-23T13:23:01Z</cp:lastPrinted>
  <dcterms:created xsi:type="dcterms:W3CDTF">2008-10-17T11:51:54Z</dcterms:created>
  <dcterms:modified xsi:type="dcterms:W3CDTF">2019-02-25T14:31:59Z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