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<sst xmlns="http://schemas.openxmlformats.org/spreadsheetml/2006/main" count="398" uniqueCount="348">
  <si>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</si>
  <si>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</si>
  <si>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</si>
  <si>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</si>
  <si>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</si>
  <si>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</si>
  <si>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</si>
  <si>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</si>
  <si>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</si>
  <si>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</si>
  <si>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</si>
  <si>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</si>
  <si>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</si>
  <si>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</si>
  <si>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</si>
  <si>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</si>
  <si>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</si>
  <si>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</si>
  <si>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</si>
  <si>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</si>
  <si>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</si>
  <si>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</si>
  <si>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</si>
  <si>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</si>
  <si>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</si>
  <si>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</si>
  <si>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</si>
  <si>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</si>
  <si>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</si>
  <si>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</si>
  <si>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</si>
  <si>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</si>
  <si>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</si>
  <si>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</si>
  <si>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</si>
  <si>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</si>
  <si>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</si>
  <si>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</si>
  <si>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</si>
  <si>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</si>
  <si>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</si>
  <si>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</si>
  <si>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</si>
  <si>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</si>
  <si>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</si>
  <si>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</si>
  <si>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</si>
  <si>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</si>
  <si>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</si>
  <si>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</si>
  <si>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</si>
  <si>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</si>
  <si>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</si>
  <si>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</si>
  <si>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</si>
  <si>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</si>
  <si>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</si>
  <si>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</si>
  <si>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</si>
  <si>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</si>
  <si>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</si>
  <si>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</si>
  <si>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</si>
  <si>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</si>
  <si>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</si>
  <si>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</si>
  <si>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</si>
  <si>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</si>
  <si>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</si>
  <si>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</si>
  <si>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</si>
  <si>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</si>
  <si>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</si>
  <si>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</si>
  <si>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</si>
  <si>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</si>
  <si>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</si>
  <si>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</si>
  <si>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</si>
  <si>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</si>
  <si>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</si>
  <si>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</si>
  <si>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</si>
  <si>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</si>
  <si>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</si>
  <si>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</si>
  <si>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</si>
  <si>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</si>
  <si>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</si>
  <si>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</si>
  <si>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</si>
  <si>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</si>
  <si>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</si>
  <si>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</si>
  <si>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</si>
  <si>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</si>
  <si>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</si>
  <si>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</si>
  <si>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</si>
  <si>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</si>
  <si>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</si>
  <si>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</si>
  <si>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</si>
  <si>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</si>
  <si>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</si>
  <si>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</si>
  <si>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</si>
  <si>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</si>
  <si>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</si>
  <si>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</si>
  <si>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</si>
  <si>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</si>
  <si>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</si>
  <si>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</si>
  <si>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</si>
  <si>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</si>
  <si>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</si>
  <si>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</si>
  <si>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</si>
  <si>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</si>
  <si>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</si>
  <si>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</si>
  <si>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</si>
  <si>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</si>
  <si>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</si>
  <si>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</si>
  <si>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</si>
  <si>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</si>
  <si>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</si>
  <si>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</si>
  <si>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</si>
  <si>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</si>
  <si>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</si>
  <si>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</si>
  <si>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</si>
  <si>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</si>
  <si>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</si>
  <si>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</si>
  <si>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</si>
  <si>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</si>
  <si>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</si>
  <si>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</si>
  <si>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</si>
  <si>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</si>
  <si>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</si>
  <si>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</si>
  <si>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</si>
  <si>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</si>
  <si>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</si>
  <si>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</si>
  <si>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</si>
  <si>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</si>
  <si>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</si>
  <si>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</si>
  <si>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</si>
  <si>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</si>
  <si>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</si>
  <si>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</si>
  <si>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</si>
  <si>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</si>
  <si>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</si>
  <si>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</si>
  <si>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</si>
  <si>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</si>
  <si>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</si>
  <si>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</si>
  <si>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</si>
  <si>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</si>
  <si>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</si>
  <si>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</si>
  <si>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</si>
  <si>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</si>
  <si>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</si>
  <si>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</si>
  <si>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</si>
  <si>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</si>
  <si>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</si>
  <si>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</si>
  <si>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</si>
  <si>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</si>
  <si>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</si>
  <si>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</si>
  <si>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</si>
  <si>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</si>
  <si>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</si>
  <si>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</si>
  <si>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</si>
  <si>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</si>
  <si>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</si>
  <si>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</si>
  <si>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</si>
  <si>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</si>
  <si>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</si>
  <si>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</si>
  <si>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</si>
  <si>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</si>
  <si>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</si>
  <si>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</si>
  <si>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</si>
  <si>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</si>
  <si>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</si>
  <si>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</si>
  <si>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</si>
  <si>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</si>
  <si>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</si>
  <si>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</si>
  <si>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</si>
  <si>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</si>
  <si>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</si>
  <si>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</si>
  <si>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</si>
  <si>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</si>
  <si>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</si>
  <si>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</si>
  <si>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</si>
  <si>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</si>
  <si>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</si>
  <si>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</si>
  <si>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</si>
  <si>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</si>
  <si>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</si>
  <si>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</si>
  <si>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</si>
  <si>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</si>
  <si>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</si>
  <si>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</si>
  <si>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</si>
  <si>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</si>
  <si>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</si>
  <si>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</si>
  <si>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</si>
  <si>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</si>
  <si>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</si>
  <si>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</si>
  <si>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</si>
  <si>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</si>
  <si>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</si>
  <si>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</si>
  <si>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</si>
  <si>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</si>
  <si>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</si>
  <si>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</si>
  <si>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</si>
  <si>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</si>
  <si>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</si>
  <si>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</si>
  <si>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</si>
  <si>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</si>
  <si>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</si>
  <si>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</si>
  <si>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</si>
  <si>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</si>
  <si>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</si>
  <si>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</si>
  <si>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</si>
  <si>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</si>
  <si>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</si>
  <si>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</si>
  <si>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</si>
  <si>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</si>
  <si>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</si>
  <si>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</si>
  <si>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</si>
  <si>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</si>
  <si>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</si>
  <si>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</si>
  <si>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</si>
  <si>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</si>
  <si>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</si>
  <si>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</si>
  <si>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</si>
  <si>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</si>
  <si>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</si>
  <si>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</si>
  <si>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</si>
  <si>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</si>
  <si>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</si>
  <si>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</si>
  <si>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</si>
  <si>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</si>
  <si>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</si>
  <si>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</si>
  <si>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</si>
  <si>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</si>
  <si>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</si>
  <si>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</si>
  <si>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</si>
  <si>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</si>
  <si>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</si>
  <si>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</si>
  <si>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</si>
  <si>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</si>
  <si>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</si>
  <si>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</si>
  <si>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</si>
  <si>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</si>
  <si>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</si>
  <si>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</si>
  <si>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</si>
  <si>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</si>
  <si>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</si>
  <si>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</si>
  <si>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</si>
  <si>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</si>
  <si>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</si>
  <si>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</si>
  <si>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</si>
  <si>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</si>
  <si>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</si>
  <si>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</si>
  <si>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</si>
  <si>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</si>
  <si>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</si>
  <si>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</si>
  <si>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</si>
  <si>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</si>
  <si>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</si>
  <si>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</si>
  <si>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</si>
  <si>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</si>
  <si>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</si>
  <si>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</si>
  <si>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</si>
  <si>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01.01.2017.</t>
  </si>
  <si>
    <t>03334171</t>
  </si>
  <si>
    <t>080118427</t>
  </si>
  <si>
    <t>89018712265</t>
  </si>
  <si>
    <t>JADRANSKI  NAFTOVOD  DD</t>
  </si>
  <si>
    <t>ZAGREB</t>
  </si>
  <si>
    <t>MIRAMARSKA CESTA 24</t>
  </si>
  <si>
    <t>janaf@janaf.hr</t>
  </si>
  <si>
    <t>www.janaf.hr</t>
  </si>
  <si>
    <t>NE</t>
  </si>
  <si>
    <t>4950</t>
  </si>
  <si>
    <t>MIRJANA  MATAIJA</t>
  </si>
  <si>
    <t>013039369</t>
  </si>
  <si>
    <t>013039423</t>
  </si>
  <si>
    <t>mirjana.mataija@janaf.hr</t>
  </si>
  <si>
    <t>DRAGAN  KOVAČEVIĆ</t>
  </si>
  <si>
    <t>Obveznik:   JADRANSKI NAFTOVOD DD</t>
  </si>
  <si>
    <t>Obveznik:   JADRANSKI  NAFTOVOD DD</t>
  </si>
  <si>
    <t>Obveznik: JADRANSKI NAFTOVOD DD</t>
  </si>
  <si>
    <t>1.1.2017.</t>
  </si>
  <si>
    <t>,</t>
  </si>
  <si>
    <t>31.12.2017.</t>
  </si>
  <si>
    <t>stanje na dan  31.12.2017.</t>
  </si>
  <si>
    <t>u razdoblju  od  01.01.2017.  do  31.12.2017.</t>
  </si>
  <si>
    <t>u razdoblju od 1.1.2017. do 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</si>
</sst>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f@janaf.hr" TargetMode="External" /><Relationship Id="rId2" Type="http://schemas.openxmlformats.org/officeDocument/2006/relationships/hyperlink" Target="http://www.janaf.hr/" TargetMode="External" /><Relationship Id="rId3" Type="http://schemas.openxmlformats.org/officeDocument/2006/relationships/hyperlink" Target="mailto:mirjana.mataija@janaf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18" sqref="C18:I1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1" t="s">
        <v>248</v>
      </c>
      <c r="B1" s="182"/>
      <c r="C1" s="182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8" t="s">
        <v>249</v>
      </c>
      <c r="B2" s="139"/>
      <c r="C2" s="139"/>
      <c r="D2" s="140"/>
      <c r="E2" s="118" t="s">
        <v>323</v>
      </c>
      <c r="F2" s="12"/>
      <c r="G2" s="13" t="s">
        <v>250</v>
      </c>
      <c r="H2" s="118" t="s">
        <v>344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41" t="s">
        <v>317</v>
      </c>
      <c r="B4" s="142"/>
      <c r="C4" s="142"/>
      <c r="D4" s="142"/>
      <c r="E4" s="142"/>
      <c r="F4" s="142"/>
      <c r="G4" s="142"/>
      <c r="H4" s="142"/>
      <c r="I4" s="143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4" t="s">
        <v>251</v>
      </c>
      <c r="B6" s="145"/>
      <c r="C6" s="136" t="s">
        <v>324</v>
      </c>
      <c r="D6" s="137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6" t="s">
        <v>252</v>
      </c>
      <c r="B8" s="147"/>
      <c r="C8" s="136" t="s">
        <v>325</v>
      </c>
      <c r="D8" s="137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3" t="s">
        <v>253</v>
      </c>
      <c r="B10" s="134"/>
      <c r="C10" s="136" t="s">
        <v>326</v>
      </c>
      <c r="D10" s="137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35"/>
      <c r="B11" s="134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4" t="s">
        <v>254</v>
      </c>
      <c r="B12" s="145"/>
      <c r="C12" s="148" t="s">
        <v>327</v>
      </c>
      <c r="D12" s="149"/>
      <c r="E12" s="149"/>
      <c r="F12" s="149"/>
      <c r="G12" s="149"/>
      <c r="H12" s="149"/>
      <c r="I12" s="150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4" t="s">
        <v>255</v>
      </c>
      <c r="B14" s="145"/>
      <c r="C14" s="151">
        <v>10000</v>
      </c>
      <c r="D14" s="152"/>
      <c r="E14" s="16"/>
      <c r="F14" s="148" t="s">
        <v>328</v>
      </c>
      <c r="G14" s="149"/>
      <c r="H14" s="149"/>
      <c r="I14" s="150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4" t="s">
        <v>256</v>
      </c>
      <c r="B16" s="145"/>
      <c r="C16" s="148" t="s">
        <v>329</v>
      </c>
      <c r="D16" s="149"/>
      <c r="E16" s="149"/>
      <c r="F16" s="149"/>
      <c r="G16" s="149"/>
      <c r="H16" s="149"/>
      <c r="I16" s="150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4" t="s">
        <v>257</v>
      </c>
      <c r="B18" s="145"/>
      <c r="C18" s="153" t="s">
        <v>330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4" t="s">
        <v>258</v>
      </c>
      <c r="B20" s="145"/>
      <c r="C20" s="153" t="s">
        <v>331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4" t="s">
        <v>259</v>
      </c>
      <c r="B22" s="145"/>
      <c r="C22" s="119">
        <v>133</v>
      </c>
      <c r="D22" s="148"/>
      <c r="E22" s="156"/>
      <c r="F22" s="157"/>
      <c r="G22" s="144"/>
      <c r="H22" s="158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4" t="s">
        <v>260</v>
      </c>
      <c r="B24" s="145"/>
      <c r="C24" s="119">
        <v>21</v>
      </c>
      <c r="D24" s="148"/>
      <c r="E24" s="156"/>
      <c r="F24" s="156"/>
      <c r="G24" s="157"/>
      <c r="H24" s="51" t="s">
        <v>261</v>
      </c>
      <c r="I24" s="120">
        <v>382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4" t="s">
        <v>262</v>
      </c>
      <c r="B26" s="145"/>
      <c r="C26" s="121" t="s">
        <v>332</v>
      </c>
      <c r="D26" s="25"/>
      <c r="E26" s="33"/>
      <c r="F26" s="24"/>
      <c r="G26" s="159" t="s">
        <v>263</v>
      </c>
      <c r="H26" s="145"/>
      <c r="I26" s="122" t="s">
        <v>333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0" t="s">
        <v>264</v>
      </c>
      <c r="B28" s="161"/>
      <c r="C28" s="162"/>
      <c r="D28" s="162"/>
      <c r="E28" s="163" t="s">
        <v>265</v>
      </c>
      <c r="F28" s="164"/>
      <c r="G28" s="164"/>
      <c r="H28" s="165" t="s">
        <v>266</v>
      </c>
      <c r="I28" s="166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7"/>
      <c r="B30" s="168"/>
      <c r="C30" s="168"/>
      <c r="D30" s="169"/>
      <c r="E30" s="167"/>
      <c r="F30" s="168"/>
      <c r="G30" s="168"/>
      <c r="H30" s="136"/>
      <c r="I30" s="137"/>
      <c r="J30" s="10"/>
      <c r="K30" s="10"/>
      <c r="L30" s="10"/>
    </row>
    <row r="31" spans="1:12" ht="12.75">
      <c r="A31" s="92"/>
      <c r="B31" s="22"/>
      <c r="C31" s="21"/>
      <c r="D31" s="170"/>
      <c r="E31" s="170"/>
      <c r="F31" s="170"/>
      <c r="G31" s="171"/>
      <c r="H31" s="16"/>
      <c r="I31" s="99"/>
      <c r="J31" s="10"/>
      <c r="K31" s="10"/>
      <c r="L31" s="10"/>
    </row>
    <row r="32" spans="1:12" ht="12.75">
      <c r="A32" s="167"/>
      <c r="B32" s="168"/>
      <c r="C32" s="168"/>
      <c r="D32" s="169"/>
      <c r="E32" s="167"/>
      <c r="F32" s="168"/>
      <c r="G32" s="168"/>
      <c r="H32" s="136"/>
      <c r="I32" s="137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7"/>
      <c r="B34" s="168"/>
      <c r="C34" s="168"/>
      <c r="D34" s="169"/>
      <c r="E34" s="167"/>
      <c r="F34" s="168"/>
      <c r="G34" s="168"/>
      <c r="H34" s="136"/>
      <c r="I34" s="137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7"/>
      <c r="B36" s="168"/>
      <c r="C36" s="168"/>
      <c r="D36" s="169"/>
      <c r="E36" s="167"/>
      <c r="F36" s="168"/>
      <c r="G36" s="168"/>
      <c r="H36" s="136"/>
      <c r="I36" s="137"/>
      <c r="J36" s="10"/>
      <c r="K36" s="10"/>
      <c r="L36" s="10"/>
    </row>
    <row r="37" spans="1:12" ht="12.75">
      <c r="A37" s="101"/>
      <c r="B37" s="30"/>
      <c r="C37" s="172"/>
      <c r="D37" s="173"/>
      <c r="E37" s="16"/>
      <c r="F37" s="172"/>
      <c r="G37" s="173"/>
      <c r="H37" s="16"/>
      <c r="I37" s="93"/>
      <c r="J37" s="10"/>
      <c r="K37" s="10"/>
      <c r="L37" s="10"/>
    </row>
    <row r="38" spans="1:12" ht="12.75">
      <c r="A38" s="167"/>
      <c r="B38" s="168"/>
      <c r="C38" s="168"/>
      <c r="D38" s="169"/>
      <c r="E38" s="167"/>
      <c r="F38" s="168"/>
      <c r="G38" s="168"/>
      <c r="H38" s="136"/>
      <c r="I38" s="137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7"/>
      <c r="B40" s="168"/>
      <c r="C40" s="168"/>
      <c r="D40" s="169"/>
      <c r="E40" s="167"/>
      <c r="F40" s="168"/>
      <c r="G40" s="168"/>
      <c r="H40" s="136"/>
      <c r="I40" s="137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3" t="s">
        <v>267</v>
      </c>
      <c r="B44" s="177"/>
      <c r="C44" s="136"/>
      <c r="D44" s="137"/>
      <c r="E44" s="26"/>
      <c r="F44" s="148"/>
      <c r="G44" s="168"/>
      <c r="H44" s="168"/>
      <c r="I44" s="169"/>
      <c r="J44" s="10"/>
      <c r="K44" s="10"/>
      <c r="L44" s="10"/>
    </row>
    <row r="45" spans="1:12" ht="12.75">
      <c r="A45" s="101"/>
      <c r="B45" s="30"/>
      <c r="C45" s="172"/>
      <c r="D45" s="173"/>
      <c r="E45" s="16"/>
      <c r="F45" s="172"/>
      <c r="G45" s="174"/>
      <c r="H45" s="35"/>
      <c r="I45" s="105"/>
      <c r="J45" s="10"/>
      <c r="K45" s="10"/>
      <c r="L45" s="10"/>
    </row>
    <row r="46" spans="1:12" ht="12.75">
      <c r="A46" s="133" t="s">
        <v>268</v>
      </c>
      <c r="B46" s="177"/>
      <c r="C46" s="148" t="s">
        <v>334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3" t="s">
        <v>270</v>
      </c>
      <c r="B48" s="177"/>
      <c r="C48" s="178" t="s">
        <v>335</v>
      </c>
      <c r="D48" s="179"/>
      <c r="E48" s="180"/>
      <c r="F48" s="16"/>
      <c r="G48" s="51" t="s">
        <v>271</v>
      </c>
      <c r="H48" s="178" t="s">
        <v>336</v>
      </c>
      <c r="I48" s="180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3" t="s">
        <v>257</v>
      </c>
      <c r="B50" s="177"/>
      <c r="C50" s="189" t="s">
        <v>337</v>
      </c>
      <c r="D50" s="179"/>
      <c r="E50" s="179"/>
      <c r="F50" s="179"/>
      <c r="G50" s="179"/>
      <c r="H50" s="179"/>
      <c r="I50" s="180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4" t="s">
        <v>272</v>
      </c>
      <c r="B52" s="145"/>
      <c r="C52" s="178" t="s">
        <v>338</v>
      </c>
      <c r="D52" s="179"/>
      <c r="E52" s="179"/>
      <c r="F52" s="179"/>
      <c r="G52" s="179"/>
      <c r="H52" s="179"/>
      <c r="I52" s="150"/>
      <c r="J52" s="10"/>
      <c r="K52" s="10"/>
      <c r="L52" s="10"/>
    </row>
    <row r="53" spans="1:12" ht="12.75">
      <c r="A53" s="106"/>
      <c r="B53" s="20"/>
      <c r="C53" s="183" t="s">
        <v>273</v>
      </c>
      <c r="D53" s="183"/>
      <c r="E53" s="183"/>
      <c r="F53" s="183"/>
      <c r="G53" s="183"/>
      <c r="H53" s="183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90" t="s">
        <v>274</v>
      </c>
      <c r="C55" s="191"/>
      <c r="D55" s="191"/>
      <c r="E55" s="191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92" t="s">
        <v>306</v>
      </c>
      <c r="C56" s="193"/>
      <c r="D56" s="193"/>
      <c r="E56" s="193"/>
      <c r="F56" s="193"/>
      <c r="G56" s="193"/>
      <c r="H56" s="193"/>
      <c r="I56" s="194"/>
      <c r="J56" s="10"/>
      <c r="K56" s="10"/>
      <c r="L56" s="10"/>
    </row>
    <row r="57" spans="1:12" ht="12.75">
      <c r="A57" s="106"/>
      <c r="B57" s="192" t="s">
        <v>307</v>
      </c>
      <c r="C57" s="193"/>
      <c r="D57" s="193"/>
      <c r="E57" s="193"/>
      <c r="F57" s="193"/>
      <c r="G57" s="193"/>
      <c r="H57" s="193"/>
      <c r="I57" s="108"/>
      <c r="J57" s="10"/>
      <c r="K57" s="10"/>
      <c r="L57" s="10"/>
    </row>
    <row r="58" spans="1:12" ht="12.75">
      <c r="A58" s="106"/>
      <c r="B58" s="192" t="s">
        <v>308</v>
      </c>
      <c r="C58" s="193"/>
      <c r="D58" s="193"/>
      <c r="E58" s="193"/>
      <c r="F58" s="193"/>
      <c r="G58" s="193"/>
      <c r="H58" s="193"/>
      <c r="I58" s="194"/>
      <c r="J58" s="10"/>
      <c r="K58" s="10"/>
      <c r="L58" s="10"/>
    </row>
    <row r="59" spans="1:12" ht="12.75">
      <c r="A59" s="106"/>
      <c r="B59" s="192" t="s">
        <v>309</v>
      </c>
      <c r="C59" s="193"/>
      <c r="D59" s="193"/>
      <c r="E59" s="193"/>
      <c r="F59" s="193"/>
      <c r="G59" s="193"/>
      <c r="H59" s="193"/>
      <c r="I59" s="194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84" t="s">
        <v>277</v>
      </c>
      <c r="H62" s="185"/>
      <c r="I62" s="186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7"/>
      <c r="H63" s="188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naf@janaf.hr"/>
    <hyperlink ref="C20" r:id="rId2" display="www.janaf.hr"/>
    <hyperlink ref="C50" r:id="rId3" display="mirjana.mataija@janaf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67" sqref="K67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32" t="s">
        <v>153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345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339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>
      <c r="A4" s="237" t="s">
        <v>59</v>
      </c>
      <c r="B4" s="238"/>
      <c r="C4" s="238"/>
      <c r="D4" s="238"/>
      <c r="E4" s="238"/>
      <c r="F4" s="238"/>
      <c r="G4" s="238"/>
      <c r="H4" s="239"/>
      <c r="I4" s="57" t="s">
        <v>278</v>
      </c>
      <c r="J4" s="58" t="s">
        <v>319</v>
      </c>
      <c r="K4" s="59" t="s">
        <v>320</v>
      </c>
    </row>
    <row r="5" spans="1:11" ht="12.75">
      <c r="A5" s="228">
        <v>1</v>
      </c>
      <c r="B5" s="228"/>
      <c r="C5" s="228"/>
      <c r="D5" s="228"/>
      <c r="E5" s="228"/>
      <c r="F5" s="228"/>
      <c r="G5" s="228"/>
      <c r="H5" s="228"/>
      <c r="I5" s="56">
        <v>2</v>
      </c>
      <c r="J5" s="55">
        <v>3</v>
      </c>
      <c r="K5" s="55">
        <v>4</v>
      </c>
    </row>
    <row r="6" spans="1:11" ht="12.75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1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22"/>
      <c r="I7" s="3">
        <v>1</v>
      </c>
      <c r="J7" s="6"/>
      <c r="K7" s="6"/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127">
        <f>J9+J16+J26+J35+J39</f>
        <v>3063453823</v>
      </c>
      <c r="K8" s="127">
        <f>K9+K16+K26+K35+K39</f>
        <v>3352156666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119618482</v>
      </c>
      <c r="K9" s="53">
        <f>SUM(K10:K15)</f>
        <v>126474099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109835372</v>
      </c>
      <c r="K11" s="7">
        <v>114724709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9783110</v>
      </c>
      <c r="K14" s="7">
        <v>11749390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2942882364</v>
      </c>
      <c r="K16" s="53">
        <f>SUM(K17:K25)</f>
        <v>3224767709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384873717</v>
      </c>
      <c r="K17" s="7">
        <v>384953189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1177722503</v>
      </c>
      <c r="K18" s="7">
        <v>1401575843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467345313</v>
      </c>
      <c r="K19" s="7">
        <v>530682992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17603159</v>
      </c>
      <c r="K20" s="7">
        <v>23787607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36755567</v>
      </c>
      <c r="K22" s="7">
        <v>12629571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622403547</v>
      </c>
      <c r="K23" s="7">
        <v>634273252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236178558</v>
      </c>
      <c r="K24" s="7">
        <v>236865255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131114</v>
      </c>
      <c r="K26" s="53">
        <f>SUM(K27:K34)</f>
        <v>147833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131114</v>
      </c>
      <c r="K27" s="7">
        <v>147833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72670</v>
      </c>
      <c r="K35" s="53">
        <f>SUM(K36:K38)</f>
        <v>44052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72670</v>
      </c>
      <c r="K37" s="7">
        <v>44052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749193</v>
      </c>
      <c r="K39" s="7">
        <v>722973</v>
      </c>
    </row>
    <row r="40" spans="1:11" ht="12.75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127">
        <f>J41+J49+J56+J64</f>
        <v>983961513</v>
      </c>
      <c r="K40" s="127">
        <f>K41+K49+K56+K64</f>
        <v>753068587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17300819</v>
      </c>
      <c r="K41" s="53">
        <f>SUM(K42:K48)</f>
        <v>17808158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17300819</v>
      </c>
      <c r="K42" s="7">
        <v>17808158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94574996</v>
      </c>
      <c r="K49" s="53">
        <f>SUM(K50:K55)</f>
        <v>63392399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68864</v>
      </c>
      <c r="K50" s="7">
        <v>9072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91945606</v>
      </c>
      <c r="K51" s="7">
        <v>61064701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48861</v>
      </c>
      <c r="K53" s="7">
        <v>14595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19205</v>
      </c>
      <c r="K54" s="7">
        <v>7411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2492460</v>
      </c>
      <c r="K55" s="7">
        <v>2296620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48787969</v>
      </c>
      <c r="K56" s="53">
        <f>SUM(K57:K63)</f>
        <v>100338114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929860</v>
      </c>
      <c r="K58" s="7">
        <v>338114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47858109</v>
      </c>
      <c r="K62" s="7">
        <v>100000000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823297729</v>
      </c>
      <c r="K64" s="7">
        <v>571529916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126">
        <v>2713095</v>
      </c>
      <c r="K65" s="126">
        <v>1938962</v>
      </c>
    </row>
    <row r="66" spans="1:11" ht="12.75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127">
        <f>J7+J8+J40+J65</f>
        <v>4050128431</v>
      </c>
      <c r="K66" s="127">
        <f>K7+K8+K40+K65</f>
        <v>4107164215</v>
      </c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128">
        <v>3357256992</v>
      </c>
      <c r="K67" s="128">
        <v>3441782209</v>
      </c>
    </row>
    <row r="68" spans="1:11" ht="12.75">
      <c r="A68" s="200" t="s">
        <v>58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22"/>
      <c r="I69" s="3">
        <v>62</v>
      </c>
      <c r="J69" s="129">
        <f>J70+J71+J72+J78+J79+J82+J85</f>
        <v>3749802514</v>
      </c>
      <c r="K69" s="129">
        <f>K70+K71+K72+K78+K79+K82+K85</f>
        <v>3874278567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2851672140</v>
      </c>
      <c r="K70" s="7">
        <v>2952437940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53585</v>
      </c>
      <c r="K71" s="7">
        <v>53585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290111652</v>
      </c>
      <c r="K72" s="53">
        <f>K73+K74-K75+K76+K77</f>
        <v>304636263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52954980</v>
      </c>
      <c r="K73" s="7">
        <v>67479591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237156672</v>
      </c>
      <c r="K77" s="7">
        <v>237156672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317472927</v>
      </c>
      <c r="K79" s="53">
        <f>K80-K81</f>
        <v>326411157</v>
      </c>
    </row>
    <row r="80" spans="1:11" ht="12.75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317472927</v>
      </c>
      <c r="K80" s="7">
        <v>326411157</v>
      </c>
    </row>
    <row r="81" spans="1:11" ht="12.75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290492210</v>
      </c>
      <c r="K82" s="53">
        <f>K83-K84</f>
        <v>290739622</v>
      </c>
    </row>
    <row r="83" spans="1:11" ht="12.75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290492210</v>
      </c>
      <c r="K83" s="7">
        <v>290739622</v>
      </c>
    </row>
    <row r="84" spans="1:11" ht="12.75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127">
        <f>SUM(J87:J89)</f>
        <v>31181141</v>
      </c>
      <c r="K86" s="127">
        <f>SUM(K87:K89)</f>
        <v>27806754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10557427</v>
      </c>
      <c r="K87" s="7">
        <v>8897360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20623714</v>
      </c>
      <c r="K89" s="7">
        <v>18909394</v>
      </c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127">
        <f>SUM(J91:J99)</f>
        <v>144523161</v>
      </c>
      <c r="K90" s="127">
        <f>SUM(K91:K99)</f>
        <v>80098150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/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144523161</v>
      </c>
      <c r="K98" s="7">
        <v>80098150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127">
        <f>SUM(J101:J112)</f>
        <v>109513994</v>
      </c>
      <c r="K100" s="127">
        <f>SUM(K101:K112)</f>
        <v>120847183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1030013</v>
      </c>
      <c r="K101" s="7">
        <v>513815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/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>
        <v>500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93683015</v>
      </c>
      <c r="K105" s="7">
        <v>100102542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4930626</v>
      </c>
      <c r="K108" s="7">
        <v>3852499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7702692</v>
      </c>
      <c r="K109" s="7">
        <v>15550690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25465</v>
      </c>
      <c r="K110" s="7">
        <v>20095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2142183</v>
      </c>
      <c r="K112" s="7">
        <v>807042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126">
        <v>15107621</v>
      </c>
      <c r="K113" s="126">
        <v>4133561</v>
      </c>
    </row>
    <row r="114" spans="1:11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127">
        <f>J69+J86+J90+J100+J113</f>
        <v>4050128431</v>
      </c>
      <c r="K114" s="127">
        <f>K69+K86+K90+K100+K113</f>
        <v>4107164215</v>
      </c>
    </row>
    <row r="115" spans="1:11" ht="12.75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128">
        <v>3357256992</v>
      </c>
      <c r="K115" s="128">
        <v>3441782209</v>
      </c>
    </row>
    <row r="116" spans="1:11" ht="12.75">
      <c r="A116" s="200" t="s">
        <v>310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14" t="s">
        <v>9</v>
      </c>
      <c r="B119" s="215"/>
      <c r="C119" s="215"/>
      <c r="D119" s="215"/>
      <c r="E119" s="215"/>
      <c r="F119" s="215"/>
      <c r="G119" s="215"/>
      <c r="H119" s="216"/>
      <c r="I119" s="4">
        <v>110</v>
      </c>
      <c r="J119" s="8"/>
      <c r="K119" s="8"/>
    </row>
    <row r="120" spans="1:11" ht="12.75">
      <c r="A120" s="217" t="s">
        <v>311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26" sqref="M2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2" t="s">
        <v>154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40" t="s">
        <v>346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54" t="s">
        <v>340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5" t="s">
        <v>59</v>
      </c>
      <c r="B4" s="255"/>
      <c r="C4" s="255"/>
      <c r="D4" s="255"/>
      <c r="E4" s="255"/>
      <c r="F4" s="255"/>
      <c r="G4" s="255"/>
      <c r="H4" s="255"/>
      <c r="I4" s="57" t="s">
        <v>279</v>
      </c>
      <c r="J4" s="256" t="s">
        <v>319</v>
      </c>
      <c r="K4" s="256"/>
      <c r="L4" s="256" t="s">
        <v>320</v>
      </c>
      <c r="M4" s="256"/>
    </row>
    <row r="5" spans="1:13" ht="22.5">
      <c r="A5" s="255"/>
      <c r="B5" s="255"/>
      <c r="C5" s="255"/>
      <c r="D5" s="255"/>
      <c r="E5" s="255"/>
      <c r="F5" s="255"/>
      <c r="G5" s="255"/>
      <c r="H5" s="255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22"/>
      <c r="I7" s="3">
        <v>111</v>
      </c>
      <c r="J7" s="129">
        <f>SUM(J8:J9)</f>
        <v>735035245</v>
      </c>
      <c r="K7" s="129">
        <f>SUM(K8:K9)</f>
        <v>208156465</v>
      </c>
      <c r="L7" s="129">
        <f>SUM(L8:L9)</f>
        <v>755330920.1</v>
      </c>
      <c r="M7" s="129">
        <f>SUM(M8:M9)</f>
        <v>231752418.10000002</v>
      </c>
    </row>
    <row r="8" spans="1:13" ht="12.75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126">
        <v>709499559</v>
      </c>
      <c r="K8" s="126">
        <f>J8-524839476</f>
        <v>184660083</v>
      </c>
      <c r="L8" s="126">
        <v>701176443.1</v>
      </c>
      <c r="M8" s="126">
        <f>L8-521160626</f>
        <v>180015817.10000002</v>
      </c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126">
        <v>25535686</v>
      </c>
      <c r="K9" s="126">
        <f>J9-2039304</f>
        <v>23496382</v>
      </c>
      <c r="L9" s="126">
        <v>54154477</v>
      </c>
      <c r="M9" s="126">
        <f>L9-2417876</f>
        <v>51736601</v>
      </c>
    </row>
    <row r="10" spans="1:13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127">
        <f>J11+J12+J16+J20+J21+J22+J25+J26</f>
        <v>401330044</v>
      </c>
      <c r="K10" s="127">
        <f>K11+K12+K16+K20+K21+K22+K25+K26</f>
        <v>102810911</v>
      </c>
      <c r="L10" s="127">
        <f>L11+L12+L16+L20+L21+L22+L25+L26</f>
        <v>391339813.17</v>
      </c>
      <c r="M10" s="127">
        <f>M11+M12+M16+M20+M21+M22+M25+M26</f>
        <v>105581510.17</v>
      </c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/>
      <c r="K11" s="7"/>
      <c r="L11" s="7"/>
      <c r="M11" s="7"/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127">
        <f>SUM(J13:J15)</f>
        <v>95212896</v>
      </c>
      <c r="K12" s="127">
        <f>SUM(K13:K15)</f>
        <v>32256781</v>
      </c>
      <c r="L12" s="127">
        <f>SUM(L13:L15)</f>
        <v>107176003</v>
      </c>
      <c r="M12" s="127">
        <f>SUM(M13:M15)</f>
        <v>34099945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29561537</v>
      </c>
      <c r="K13" s="7">
        <f>J13-19940758</f>
        <v>9620779</v>
      </c>
      <c r="L13" s="7">
        <v>33460923</v>
      </c>
      <c r="M13" s="7">
        <f>L13-22753224</f>
        <v>10707699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65651359</v>
      </c>
      <c r="K15" s="7">
        <f>J15-43015357</f>
        <v>22636002</v>
      </c>
      <c r="L15" s="7">
        <v>73715080</v>
      </c>
      <c r="M15" s="7">
        <f>L15-50322834</f>
        <v>23392246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127">
        <f>SUM(J17:J19)</f>
        <v>75912119</v>
      </c>
      <c r="K16" s="127">
        <f>SUM(K17:K19)</f>
        <v>18520449</v>
      </c>
      <c r="L16" s="127">
        <f>SUM(L17:L19)</f>
        <v>76505225</v>
      </c>
      <c r="M16" s="127">
        <f>SUM(M17:M19)</f>
        <v>21283247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42250941</v>
      </c>
      <c r="K17" s="7">
        <f>J17-32070586</f>
        <v>10180355</v>
      </c>
      <c r="L17" s="7">
        <v>43954665</v>
      </c>
      <c r="M17" s="7">
        <f>L17-32008509</f>
        <v>11946156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22357235</v>
      </c>
      <c r="K18" s="7">
        <f>J18-16837799</f>
        <v>5519436</v>
      </c>
      <c r="L18" s="7">
        <v>21210891</v>
      </c>
      <c r="M18" s="7">
        <f>L18-15096009</f>
        <v>6114882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11303943</v>
      </c>
      <c r="K19" s="7">
        <f>J19-8483285</f>
        <v>2820658</v>
      </c>
      <c r="L19" s="7">
        <v>11339669</v>
      </c>
      <c r="M19" s="7">
        <f>L19-8117460</f>
        <v>3222209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126">
        <v>199751130</v>
      </c>
      <c r="K20" s="126">
        <f>J20-149628972</f>
        <v>50122158</v>
      </c>
      <c r="L20" s="126">
        <v>169081932</v>
      </c>
      <c r="M20" s="126">
        <f>L20-137529116</f>
        <v>31552816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126">
        <v>24166864</v>
      </c>
      <c r="K21" s="126">
        <f>J21-18553628</f>
        <v>5613236</v>
      </c>
      <c r="L21" s="126">
        <v>25851032</v>
      </c>
      <c r="M21" s="126">
        <f>L21-19410071</f>
        <v>6440961</v>
      </c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3">
        <f>SUM(J23:J24)</f>
        <v>1848247</v>
      </c>
      <c r="K22" s="53">
        <f>SUM(K23:K24)</f>
        <v>1848247</v>
      </c>
      <c r="L22" s="53">
        <f>SUM(L23:L24)</f>
        <v>6620645</v>
      </c>
      <c r="M22" s="53">
        <f>SUM(M23:M24)</f>
        <v>6620645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1848247</v>
      </c>
      <c r="K24" s="7">
        <f>J24-0</f>
        <v>1848247</v>
      </c>
      <c r="L24" s="7">
        <v>6620645</v>
      </c>
      <c r="M24" s="7">
        <f>L24-0</f>
        <v>6620645</v>
      </c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126">
        <v>2631247</v>
      </c>
      <c r="K25" s="126">
        <f>J25-8385450</f>
        <v>-5754203</v>
      </c>
      <c r="L25" s="126">
        <v>2997388</v>
      </c>
      <c r="M25" s="126">
        <f>L25-0</f>
        <v>2997388</v>
      </c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126">
        <v>1807541</v>
      </c>
      <c r="K26" s="126">
        <f>J26-1603298</f>
        <v>204243</v>
      </c>
      <c r="L26" s="126">
        <v>3107588.17</v>
      </c>
      <c r="M26" s="126">
        <f>L26-521080</f>
        <v>2586508.17</v>
      </c>
    </row>
    <row r="27" spans="1:13" ht="12.75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127">
        <f>SUM(J28:J32)</f>
        <v>17698336</v>
      </c>
      <c r="K27" s="127">
        <f>SUM(K28:K32)</f>
        <v>10234224</v>
      </c>
      <c r="L27" s="127">
        <f>SUM(L28:L32)</f>
        <v>25448906</v>
      </c>
      <c r="M27" s="127">
        <f>SUM(M28:M32)</f>
        <v>19844378</v>
      </c>
    </row>
    <row r="28" spans="1:13" ht="12.75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126">
        <v>49601</v>
      </c>
      <c r="K28" s="126">
        <f>J28-37964</f>
        <v>11637</v>
      </c>
      <c r="L28" s="126">
        <v>26082</v>
      </c>
      <c r="M28" s="126">
        <f>L28-21630</f>
        <v>4452</v>
      </c>
    </row>
    <row r="29" spans="1:13" ht="12.75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126">
        <v>16796065</v>
      </c>
      <c r="K29" s="126">
        <f>J29-7041673</f>
        <v>9754392</v>
      </c>
      <c r="L29" s="126">
        <v>24514165</v>
      </c>
      <c r="M29" s="126">
        <f>L29-4959435</f>
        <v>19554730</v>
      </c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126"/>
      <c r="K30" s="126"/>
      <c r="L30" s="126"/>
      <c r="M30" s="126"/>
    </row>
    <row r="31" spans="1:13" ht="12.75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126"/>
      <c r="K31" s="126"/>
      <c r="L31" s="126"/>
      <c r="M31" s="126"/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126">
        <v>852670</v>
      </c>
      <c r="K32" s="126">
        <f>J32-384475</f>
        <v>468195</v>
      </c>
      <c r="L32" s="126">
        <v>908659</v>
      </c>
      <c r="M32" s="126">
        <f>L32-623463</f>
        <v>285196</v>
      </c>
    </row>
    <row r="33" spans="1:13" ht="12.75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127">
        <f>SUM(J34:J37)</f>
        <v>13186002</v>
      </c>
      <c r="K33" s="127">
        <f>SUM(K34:K37)</f>
        <v>6591895</v>
      </c>
      <c r="L33" s="127">
        <f>SUM(L34:L37)</f>
        <v>34770449</v>
      </c>
      <c r="M33" s="127">
        <f>SUM(M34:M37)</f>
        <v>27040679</v>
      </c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126">
        <v>79</v>
      </c>
      <c r="K34" s="126">
        <f>J34-0</f>
        <v>79</v>
      </c>
      <c r="L34" s="126">
        <v>45</v>
      </c>
      <c r="M34" s="126">
        <f>L34-0</f>
        <v>45</v>
      </c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126">
        <v>13155888</v>
      </c>
      <c r="K35" s="126">
        <v>6591816</v>
      </c>
      <c r="L35" s="126">
        <v>34770404</v>
      </c>
      <c r="M35" s="126">
        <f>L35-7729770</f>
        <v>27040634</v>
      </c>
    </row>
    <row r="36" spans="1:13" ht="12.75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126"/>
      <c r="K36" s="126"/>
      <c r="L36" s="126"/>
      <c r="M36" s="126"/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126">
        <v>30035</v>
      </c>
      <c r="K37" s="126">
        <f>J37-30035</f>
        <v>0</v>
      </c>
      <c r="L37" s="126"/>
      <c r="M37" s="126"/>
    </row>
    <row r="38" spans="1:13" ht="12.75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</row>
    <row r="39" spans="1:13" ht="12.75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</row>
    <row r="41" spans="1:13" ht="12.75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126"/>
      <c r="K41" s="126"/>
      <c r="L41" s="126"/>
      <c r="M41" s="126"/>
    </row>
    <row r="42" spans="1:13" ht="12.75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127">
        <f>J7+J27+J38+J40</f>
        <v>752733581</v>
      </c>
      <c r="K42" s="127">
        <f>K7+K27+K38+K40</f>
        <v>218390689</v>
      </c>
      <c r="L42" s="127">
        <f>L7+L27+L38+L40</f>
        <v>780779826.1</v>
      </c>
      <c r="M42" s="127">
        <f>M7+M27+M38+M40</f>
        <v>251596796.10000002</v>
      </c>
    </row>
    <row r="43" spans="1:13" ht="12.75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127">
        <f>J10+J33+J39+J41</f>
        <v>414516046</v>
      </c>
      <c r="K43" s="127">
        <f>K10+K33+K39+K41</f>
        <v>109402806</v>
      </c>
      <c r="L43" s="127">
        <f>L10+L33+L39+L41</f>
        <v>426110262.17</v>
      </c>
      <c r="M43" s="127">
        <f>M10+M33+M39+M41</f>
        <v>132622189.17</v>
      </c>
    </row>
    <row r="44" spans="1:13" ht="12.75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127">
        <f>J42-J43</f>
        <v>338217535</v>
      </c>
      <c r="K44" s="127">
        <f>K42-K43</f>
        <v>108987883</v>
      </c>
      <c r="L44" s="127">
        <f>L42-L43</f>
        <v>354669563.93</v>
      </c>
      <c r="M44" s="127">
        <f>M42-M43</f>
        <v>118974606.93000002</v>
      </c>
    </row>
    <row r="45" spans="1:13" ht="12.75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3">
        <f>IF(J42&gt;J43,J42-J43,0)</f>
        <v>338217535</v>
      </c>
      <c r="K45" s="53">
        <f>IF(K42&gt;K43,K42-K43,0)</f>
        <v>108987883</v>
      </c>
      <c r="L45" s="53">
        <f>IF(L42&gt;L43,L42-L43,0)</f>
        <v>354669563.93</v>
      </c>
      <c r="M45" s="53">
        <f>IF(M42&gt;M43,M42-M43,0)</f>
        <v>118974606.93000002</v>
      </c>
    </row>
    <row r="46" spans="1:13" ht="12.75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126">
        <v>47725325</v>
      </c>
      <c r="K47" s="126">
        <f>J47-45845940</f>
        <v>1879385</v>
      </c>
      <c r="L47" s="126">
        <v>63929942</v>
      </c>
      <c r="M47" s="126">
        <f>L47-42425092</f>
        <v>21504850</v>
      </c>
    </row>
    <row r="48" spans="1:13" ht="12.75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127">
        <f>J44-J47</f>
        <v>290492210</v>
      </c>
      <c r="K48" s="127">
        <f>K44-K47</f>
        <v>107108498</v>
      </c>
      <c r="L48" s="127">
        <f>L44-L47</f>
        <v>290739621.93</v>
      </c>
      <c r="M48" s="127">
        <f>M44-M47</f>
        <v>97469756.93000002</v>
      </c>
    </row>
    <row r="49" spans="1:13" ht="12.75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3">
        <f>IF(J48&gt;0,J48,0)</f>
        <v>290492210</v>
      </c>
      <c r="K49" s="53">
        <f>IF(K48&gt;0,K48,0)</f>
        <v>107108498</v>
      </c>
      <c r="L49" s="53">
        <f>IF(L48&gt;0,L48,0)</f>
        <v>290739621.93</v>
      </c>
      <c r="M49" s="53">
        <f>IF(M48&gt;0,M48,0)</f>
        <v>97469756.93000002</v>
      </c>
    </row>
    <row r="50" spans="1:13" ht="12.75">
      <c r="A50" s="251" t="s">
        <v>220</v>
      </c>
      <c r="B50" s="252"/>
      <c r="C50" s="252"/>
      <c r="D50" s="252"/>
      <c r="E50" s="252"/>
      <c r="F50" s="252"/>
      <c r="G50" s="252"/>
      <c r="H50" s="253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00" t="s">
        <v>312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4"/>
      <c r="J52" s="54"/>
      <c r="K52" s="54"/>
      <c r="L52" s="54"/>
      <c r="M52" s="61"/>
    </row>
    <row r="53" spans="1:13" ht="12.75">
      <c r="A53" s="248" t="s">
        <v>234</v>
      </c>
      <c r="B53" s="249"/>
      <c r="C53" s="249"/>
      <c r="D53" s="249"/>
      <c r="E53" s="249"/>
      <c r="F53" s="249"/>
      <c r="G53" s="249"/>
      <c r="H53" s="250"/>
      <c r="I53" s="1">
        <v>155</v>
      </c>
      <c r="J53" s="7"/>
      <c r="K53" s="7"/>
      <c r="L53" s="7"/>
      <c r="M53" s="7"/>
    </row>
    <row r="54" spans="1:13" ht="12.75">
      <c r="A54" s="248" t="s">
        <v>235</v>
      </c>
      <c r="B54" s="249"/>
      <c r="C54" s="249"/>
      <c r="D54" s="249"/>
      <c r="E54" s="249"/>
      <c r="F54" s="249"/>
      <c r="G54" s="249"/>
      <c r="H54" s="250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22"/>
      <c r="I56" s="9">
        <v>157</v>
      </c>
      <c r="J56" s="130">
        <v>290492210</v>
      </c>
      <c r="K56" s="130">
        <v>107108498</v>
      </c>
      <c r="L56" s="130">
        <v>290739622</v>
      </c>
      <c r="M56" s="130">
        <v>97469757</v>
      </c>
    </row>
    <row r="57" spans="1:13" ht="12.75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 ht="12.75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131">
        <f>J56+J66</f>
        <v>290492210</v>
      </c>
      <c r="K67" s="131">
        <f>K56+K66</f>
        <v>107108498</v>
      </c>
      <c r="L67" s="131">
        <f>L56+L66</f>
        <v>290739622</v>
      </c>
      <c r="M67" s="131">
        <f>M56+M66</f>
        <v>97469757</v>
      </c>
    </row>
    <row r="68" spans="1:13" ht="12.75" customHeight="1">
      <c r="A68" s="244" t="s">
        <v>313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188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>
      <c r="A70" s="248" t="s">
        <v>234</v>
      </c>
      <c r="B70" s="249"/>
      <c r="C70" s="249"/>
      <c r="D70" s="249"/>
      <c r="E70" s="249"/>
      <c r="F70" s="249"/>
      <c r="G70" s="249"/>
      <c r="H70" s="250"/>
      <c r="I70" s="1">
        <v>169</v>
      </c>
      <c r="J70" s="7"/>
      <c r="K70" s="7"/>
      <c r="L70" s="7"/>
      <c r="M70" s="7"/>
    </row>
    <row r="71" spans="1:13" ht="12.75">
      <c r="A71" s="241" t="s">
        <v>235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1" sqref="K11"/>
    </sheetView>
  </sheetViews>
  <sheetFormatPr defaultColWidth="9.140625" defaultRowHeight="12.75"/>
  <cols>
    <col min="1" max="9" width="9.140625" style="52" customWidth="1"/>
    <col min="10" max="10" width="11.421875" style="52" customWidth="1"/>
    <col min="11" max="11" width="12.57421875" style="52" customWidth="1"/>
    <col min="12" max="16384" width="9.140625" style="52" customWidth="1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347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341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65" t="s">
        <v>59</v>
      </c>
      <c r="B4" s="265"/>
      <c r="C4" s="265"/>
      <c r="D4" s="265"/>
      <c r="E4" s="265"/>
      <c r="F4" s="265"/>
      <c r="G4" s="265"/>
      <c r="H4" s="265"/>
      <c r="I4" s="65" t="s">
        <v>279</v>
      </c>
      <c r="J4" s="66" t="s">
        <v>319</v>
      </c>
      <c r="K4" s="66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7">
        <v>2</v>
      </c>
      <c r="J5" s="68" t="s">
        <v>283</v>
      </c>
      <c r="K5" s="68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7"/>
      <c r="J6" s="257"/>
      <c r="K6" s="258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338217535</v>
      </c>
      <c r="K7" s="7">
        <v>354669564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199751130</v>
      </c>
      <c r="K8" s="7">
        <v>169081932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23579495</v>
      </c>
      <c r="K9" s="7">
        <v>359129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>
        <v>33331810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14655041</v>
      </c>
      <c r="K12" s="7"/>
    </row>
    <row r="13" spans="1:11" ht="12.75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132">
        <f>SUM(J7:J12)</f>
        <v>576203201</v>
      </c>
      <c r="K13" s="127">
        <f>SUM(K7:K12)</f>
        <v>557442435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35836059</v>
      </c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1809665</v>
      </c>
      <c r="K16" s="7">
        <v>507339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76697516</v>
      </c>
      <c r="K17" s="7">
        <v>138388050</v>
      </c>
    </row>
    <row r="18" spans="1:11" ht="12.75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132">
        <f>SUM(J14:J17)</f>
        <v>114343240</v>
      </c>
      <c r="K18" s="127">
        <f>SUM(K14:K17)</f>
        <v>138895389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132">
        <f>IF(J13&gt;J18,J13-J18,0)</f>
        <v>461859961</v>
      </c>
      <c r="K19" s="127">
        <f>IF(K13&gt;K18,K13-K18,0)</f>
        <v>418547046</v>
      </c>
    </row>
    <row r="20" spans="1:11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200" t="s">
        <v>159</v>
      </c>
      <c r="B21" s="201"/>
      <c r="C21" s="201"/>
      <c r="D21" s="201"/>
      <c r="E21" s="201"/>
      <c r="F21" s="201"/>
      <c r="G21" s="201"/>
      <c r="H21" s="201"/>
      <c r="I21" s="257"/>
      <c r="J21" s="257"/>
      <c r="K21" s="258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2920</v>
      </c>
      <c r="K22" s="7">
        <v>360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7777506</v>
      </c>
      <c r="K24" s="7">
        <v>5398835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165073549</v>
      </c>
      <c r="K26" s="7"/>
    </row>
    <row r="27" spans="1:11" ht="12.75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132">
        <f>SUM(J22:J26)</f>
        <v>172853975</v>
      </c>
      <c r="K27" s="127">
        <f>SUM(K22:K26)</f>
        <v>5399195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364427270</v>
      </c>
      <c r="K28" s="7">
        <v>457900339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>
        <v>51550145</v>
      </c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132">
        <f>SUM(J28:J30)</f>
        <v>364427270</v>
      </c>
      <c r="K31" s="127">
        <f>SUM(K28:K30)</f>
        <v>509450484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132">
        <f>IF(J27&gt;J31,J27-J31,0)</f>
        <v>0</v>
      </c>
      <c r="K32" s="53">
        <f>IF(K27&gt;K31,K27-K31,0)</f>
        <v>0</v>
      </c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132">
        <f>IF(J31&gt;J27,J31-J27,0)</f>
        <v>191573295</v>
      </c>
      <c r="K33" s="127">
        <f>IF(K31&gt;K27,K31-K27,0)</f>
        <v>504051289</v>
      </c>
    </row>
    <row r="34" spans="1:11" ht="12.75">
      <c r="A34" s="200" t="s">
        <v>160</v>
      </c>
      <c r="B34" s="201"/>
      <c r="C34" s="201"/>
      <c r="D34" s="201"/>
      <c r="E34" s="201"/>
      <c r="F34" s="201"/>
      <c r="G34" s="201"/>
      <c r="H34" s="201"/>
      <c r="I34" s="257"/>
      <c r="J34" s="257"/>
      <c r="K34" s="258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3">
        <f>SUM(J35:J37)</f>
        <v>0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133162005</v>
      </c>
      <c r="K40" s="7">
        <v>166263570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 t="s">
        <v>343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3">
        <f>SUM(J39:J43)</f>
        <v>133162005</v>
      </c>
      <c r="K44" s="53">
        <f>SUM(K39:K43)</f>
        <v>166263570</v>
      </c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132">
        <f>IF(J44&gt;J38,J44-J38,0)</f>
        <v>133162005</v>
      </c>
      <c r="K46" s="127">
        <f>IF(K44&gt;K38,K44-K38,0)</f>
        <v>166263570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3">
        <f>IF(J19-J20+J32-J33+J45-J46&gt;0,J19-J20+J32-J33+J45-J46,0)</f>
        <v>137124661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3">
        <f>IF(J20-J19+J33-J32+J46-J45&gt;0,J20-J19+J33-J32+J46-J45,0)</f>
        <v>0</v>
      </c>
      <c r="K48" s="53">
        <f>IF(K20-K19+K33-K32+K46-K45&gt;0,K20-K19+K33-K32+K46-K45,0)</f>
        <v>251767813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686173068</v>
      </c>
      <c r="K49" s="7">
        <v>823297729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137124661</v>
      </c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>
        <v>251767813</v>
      </c>
    </row>
    <row r="52" spans="1:11" ht="12.75">
      <c r="A52" s="214" t="s">
        <v>177</v>
      </c>
      <c r="B52" s="215"/>
      <c r="C52" s="215"/>
      <c r="D52" s="215"/>
      <c r="E52" s="215"/>
      <c r="F52" s="215"/>
      <c r="G52" s="215"/>
      <c r="H52" s="215"/>
      <c r="I52" s="4">
        <v>44</v>
      </c>
      <c r="J52" s="64">
        <f>J49+J50-J51</f>
        <v>823297729</v>
      </c>
      <c r="K52" s="60">
        <f>K49+K50-K51</f>
        <v>571529916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5" t="s">
        <v>279</v>
      </c>
      <c r="J4" s="66" t="s">
        <v>319</v>
      </c>
      <c r="K4" s="66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71">
        <v>2</v>
      </c>
      <c r="J5" s="72" t="s">
        <v>283</v>
      </c>
      <c r="K5" s="72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7"/>
      <c r="J6" s="257"/>
      <c r="K6" s="258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1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3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00" t="s">
        <v>159</v>
      </c>
      <c r="B22" s="201"/>
      <c r="C22" s="201"/>
      <c r="D22" s="201"/>
      <c r="E22" s="201"/>
      <c r="F22" s="201"/>
      <c r="G22" s="201"/>
      <c r="H22" s="201"/>
      <c r="I22" s="257"/>
      <c r="J22" s="257"/>
      <c r="K22" s="258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00" t="s">
        <v>160</v>
      </c>
      <c r="B35" s="201"/>
      <c r="C35" s="201"/>
      <c r="D35" s="201"/>
      <c r="E35" s="201"/>
      <c r="F35" s="201"/>
      <c r="G35" s="201"/>
      <c r="H35" s="201"/>
      <c r="I35" s="257">
        <v>0</v>
      </c>
      <c r="J35" s="257"/>
      <c r="K35" s="258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1.421875" style="75" customWidth="1"/>
    <col min="11" max="11" width="10.8515625" style="75" bestFit="1" customWidth="1"/>
    <col min="12" max="16384" width="9.140625" style="75" customWidth="1"/>
  </cols>
  <sheetData>
    <row r="1" spans="1:12" ht="12.75">
      <c r="A1" s="288" t="s">
        <v>281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74"/>
    </row>
    <row r="2" spans="1:12" ht="15.75">
      <c r="A2" s="42"/>
      <c r="B2" s="73"/>
      <c r="C2" s="273" t="s">
        <v>282</v>
      </c>
      <c r="D2" s="273"/>
      <c r="E2" s="76" t="s">
        <v>342</v>
      </c>
      <c r="F2" s="43" t="s">
        <v>250</v>
      </c>
      <c r="G2" s="274" t="s">
        <v>344</v>
      </c>
      <c r="H2" s="275"/>
      <c r="I2" s="73"/>
      <c r="J2" s="73"/>
      <c r="K2" s="73"/>
      <c r="L2" s="77"/>
    </row>
    <row r="3" spans="1:11" ht="23.25">
      <c r="A3" s="276" t="s">
        <v>59</v>
      </c>
      <c r="B3" s="276"/>
      <c r="C3" s="276"/>
      <c r="D3" s="276"/>
      <c r="E3" s="276"/>
      <c r="F3" s="276"/>
      <c r="G3" s="276"/>
      <c r="H3" s="276"/>
      <c r="I3" s="79" t="s">
        <v>305</v>
      </c>
      <c r="J3" s="80" t="s">
        <v>150</v>
      </c>
      <c r="K3" s="80" t="s">
        <v>151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82">
        <v>2</v>
      </c>
      <c r="J4" s="81" t="s">
        <v>283</v>
      </c>
      <c r="K4" s="81" t="s">
        <v>284</v>
      </c>
    </row>
    <row r="5" spans="1:11" ht="12.75">
      <c r="A5" s="278" t="s">
        <v>285</v>
      </c>
      <c r="B5" s="279"/>
      <c r="C5" s="279"/>
      <c r="D5" s="279"/>
      <c r="E5" s="279"/>
      <c r="F5" s="279"/>
      <c r="G5" s="279"/>
      <c r="H5" s="279"/>
      <c r="I5" s="44">
        <v>1</v>
      </c>
      <c r="J5" s="45">
        <v>2851672140</v>
      </c>
      <c r="K5" s="45">
        <v>2952437940</v>
      </c>
    </row>
    <row r="6" spans="1:11" ht="12.75">
      <c r="A6" s="278" t="s">
        <v>286</v>
      </c>
      <c r="B6" s="279"/>
      <c r="C6" s="279"/>
      <c r="D6" s="279"/>
      <c r="E6" s="279"/>
      <c r="F6" s="279"/>
      <c r="G6" s="279"/>
      <c r="H6" s="279"/>
      <c r="I6" s="44">
        <v>2</v>
      </c>
      <c r="J6" s="46">
        <v>53585</v>
      </c>
      <c r="K6" s="46">
        <v>53585</v>
      </c>
    </row>
    <row r="7" spans="1:11" ht="12.75">
      <c r="A7" s="278" t="s">
        <v>287</v>
      </c>
      <c r="B7" s="279"/>
      <c r="C7" s="279"/>
      <c r="D7" s="279"/>
      <c r="E7" s="279"/>
      <c r="F7" s="279"/>
      <c r="G7" s="279"/>
      <c r="H7" s="279"/>
      <c r="I7" s="44">
        <v>3</v>
      </c>
      <c r="J7" s="46">
        <v>290111652</v>
      </c>
      <c r="K7" s="46">
        <v>304636263</v>
      </c>
    </row>
    <row r="8" spans="1:11" ht="12.75">
      <c r="A8" s="278" t="s">
        <v>288</v>
      </c>
      <c r="B8" s="279"/>
      <c r="C8" s="279"/>
      <c r="D8" s="279"/>
      <c r="E8" s="279"/>
      <c r="F8" s="279"/>
      <c r="G8" s="279"/>
      <c r="H8" s="279"/>
      <c r="I8" s="44">
        <v>4</v>
      </c>
      <c r="J8" s="46">
        <v>317472927</v>
      </c>
      <c r="K8" s="46">
        <v>326411157</v>
      </c>
    </row>
    <row r="9" spans="1:11" ht="12.75">
      <c r="A9" s="278" t="s">
        <v>289</v>
      </c>
      <c r="B9" s="279"/>
      <c r="C9" s="279"/>
      <c r="D9" s="279"/>
      <c r="E9" s="279"/>
      <c r="F9" s="279"/>
      <c r="G9" s="279"/>
      <c r="H9" s="279"/>
      <c r="I9" s="44">
        <v>5</v>
      </c>
      <c r="J9" s="46">
        <v>290492210</v>
      </c>
      <c r="K9" s="46">
        <v>290739622</v>
      </c>
    </row>
    <row r="10" spans="1:11" ht="12.75">
      <c r="A10" s="278" t="s">
        <v>290</v>
      </c>
      <c r="B10" s="279"/>
      <c r="C10" s="279"/>
      <c r="D10" s="279"/>
      <c r="E10" s="279"/>
      <c r="F10" s="279"/>
      <c r="G10" s="279"/>
      <c r="H10" s="279"/>
      <c r="I10" s="44">
        <v>6</v>
      </c>
      <c r="J10" s="46"/>
      <c r="K10" s="46"/>
    </row>
    <row r="11" spans="1:11" ht="12.75">
      <c r="A11" s="278" t="s">
        <v>291</v>
      </c>
      <c r="B11" s="279"/>
      <c r="C11" s="279"/>
      <c r="D11" s="279"/>
      <c r="E11" s="279"/>
      <c r="F11" s="279"/>
      <c r="G11" s="279"/>
      <c r="H11" s="279"/>
      <c r="I11" s="44">
        <v>7</v>
      </c>
      <c r="J11" s="46"/>
      <c r="K11" s="46"/>
    </row>
    <row r="12" spans="1:11" ht="12.75">
      <c r="A12" s="278" t="s">
        <v>292</v>
      </c>
      <c r="B12" s="279"/>
      <c r="C12" s="279"/>
      <c r="D12" s="279"/>
      <c r="E12" s="279"/>
      <c r="F12" s="279"/>
      <c r="G12" s="279"/>
      <c r="H12" s="279"/>
      <c r="I12" s="44">
        <v>8</v>
      </c>
      <c r="J12" s="46"/>
      <c r="K12" s="46"/>
    </row>
    <row r="13" spans="1:11" ht="12.75">
      <c r="A13" s="278" t="s">
        <v>293</v>
      </c>
      <c r="B13" s="279"/>
      <c r="C13" s="279"/>
      <c r="D13" s="279"/>
      <c r="E13" s="279"/>
      <c r="F13" s="279"/>
      <c r="G13" s="279"/>
      <c r="H13" s="279"/>
      <c r="I13" s="44">
        <v>9</v>
      </c>
      <c r="J13" s="46"/>
      <c r="K13" s="46"/>
    </row>
    <row r="14" spans="1:11" ht="12.75">
      <c r="A14" s="280" t="s">
        <v>294</v>
      </c>
      <c r="B14" s="281"/>
      <c r="C14" s="281"/>
      <c r="D14" s="281"/>
      <c r="E14" s="281"/>
      <c r="F14" s="281"/>
      <c r="G14" s="281"/>
      <c r="H14" s="281"/>
      <c r="I14" s="44">
        <v>10</v>
      </c>
      <c r="J14" s="127">
        <f>SUM(J5:J13)</f>
        <v>3749802514</v>
      </c>
      <c r="K14" s="127">
        <f>SUM(K5:K13)</f>
        <v>3874278567</v>
      </c>
    </row>
    <row r="15" spans="1:11" ht="12.75">
      <c r="A15" s="278" t="s">
        <v>295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/>
      <c r="K15" s="46"/>
    </row>
    <row r="16" spans="1:11" ht="12.75">
      <c r="A16" s="278" t="s">
        <v>296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/>
      <c r="K16" s="46"/>
    </row>
    <row r="17" spans="1:11" ht="12.75">
      <c r="A17" s="278" t="s">
        <v>297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/>
      <c r="K17" s="46"/>
    </row>
    <row r="18" spans="1:11" ht="12.75">
      <c r="A18" s="278" t="s">
        <v>298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/>
      <c r="K18" s="46"/>
    </row>
    <row r="19" spans="1:11" ht="12.75">
      <c r="A19" s="278" t="s">
        <v>299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/>
      <c r="K19" s="46"/>
    </row>
    <row r="20" spans="1:11" ht="12.75">
      <c r="A20" s="278" t="s">
        <v>300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/>
      <c r="K20" s="46"/>
    </row>
    <row r="21" spans="1:11" ht="12.75">
      <c r="A21" s="280" t="s">
        <v>301</v>
      </c>
      <c r="B21" s="281"/>
      <c r="C21" s="281"/>
      <c r="D21" s="281"/>
      <c r="E21" s="281"/>
      <c r="F21" s="281"/>
      <c r="G21" s="281"/>
      <c r="H21" s="281"/>
      <c r="I21" s="44">
        <v>17</v>
      </c>
      <c r="J21" s="78">
        <f>SUM(J15:J20)</f>
        <v>0</v>
      </c>
      <c r="K21" s="78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2" t="s">
        <v>302</v>
      </c>
      <c r="B23" s="283"/>
      <c r="C23" s="283"/>
      <c r="D23" s="283"/>
      <c r="E23" s="283"/>
      <c r="F23" s="283"/>
      <c r="G23" s="283"/>
      <c r="H23" s="283"/>
      <c r="I23" s="47">
        <v>18</v>
      </c>
      <c r="J23" s="45"/>
      <c r="K23" s="45"/>
    </row>
    <row r="24" spans="1:11" ht="17.25" customHeight="1">
      <c r="A24" s="284" t="s">
        <v>303</v>
      </c>
      <c r="B24" s="285"/>
      <c r="C24" s="285"/>
      <c r="D24" s="285"/>
      <c r="E24" s="285"/>
      <c r="F24" s="285"/>
      <c r="G24" s="285"/>
      <c r="H24" s="285"/>
      <c r="I24" s="48">
        <v>19</v>
      </c>
      <c r="J24" s="78"/>
      <c r="K24" s="78"/>
    </row>
    <row r="25" spans="1:11" ht="30" customHeight="1">
      <c r="A25" s="286" t="s">
        <v>304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316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Lucijana Strnad</cp:lastModifiedBy>
  <cp:lastPrinted>2018-02-13T11:18:09Z</cp:lastPrinted>
  <dcterms:created xsi:type="dcterms:W3CDTF">2008-10-17T11:51:54Z</dcterms:created>
  <dcterms:modified xsi:type="dcterms:W3CDTF">2018-02-26T10:15:02Z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