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<sst xmlns="http://schemas.openxmlformats.org/spreadsheetml/2006/main" count="402" uniqueCount="352">
  <si>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</si>
  <si>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</si>
  <si>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</si>
  <si>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</si>
  <si>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</si>
  <si>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</si>
  <si>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</si>
  <si>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</si>
  <si>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</si>
  <si>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</si>
  <si>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</si>
  <si>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</si>
  <si>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</si>
  <si>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</si>
  <si>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</si>
  <si>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</si>
  <si>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</si>
  <si>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</si>
  <si>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</si>
  <si>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</si>
  <si>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</si>
  <si>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</si>
  <si>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</si>
  <si>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</si>
  <si>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</si>
  <si>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</si>
  <si>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</si>
  <si>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</si>
  <si>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</si>
  <si>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</si>
  <si>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</si>
  <si>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</si>
  <si>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</si>
  <si>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</si>
  <si>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</si>
  <si>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</si>
  <si>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</si>
  <si>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</si>
  <si>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</si>
  <si>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</si>
  <si>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</si>
  <si>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</si>
  <si>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</si>
  <si>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</si>
  <si>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</si>
  <si>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</si>
  <si>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</si>
  <si>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</si>
  <si>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</si>
  <si>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</si>
  <si>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</si>
  <si>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</si>
  <si>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</si>
  <si>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</si>
  <si>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</si>
  <si>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</si>
  <si>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</si>
  <si>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</si>
  <si>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</si>
  <si>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</si>
  <si>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</si>
  <si>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</si>
  <si>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</si>
  <si>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</si>
  <si>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</si>
  <si>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</si>
  <si>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</si>
  <si>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</si>
  <si>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</si>
  <si>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</si>
  <si>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</si>
  <si>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</si>
  <si>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</si>
  <si>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</si>
  <si>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</si>
  <si>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</si>
  <si>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</si>
  <si>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</si>
  <si>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</si>
  <si>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</si>
  <si>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</si>
  <si>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</si>
  <si>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</si>
  <si>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</si>
  <si>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</si>
  <si>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</si>
  <si>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</si>
  <si>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</si>
  <si>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</si>
  <si>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</si>
  <si>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</si>
  <si>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</si>
  <si>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</si>
  <si>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</si>
  <si>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</si>
  <si>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</si>
  <si>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</si>
  <si>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</si>
  <si>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</si>
  <si>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</si>
  <si>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</si>
  <si>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</si>
  <si>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</si>
  <si>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</si>
  <si>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</si>
  <si>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</si>
  <si>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</si>
  <si>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</si>
  <si>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</si>
  <si>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</si>
  <si>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</si>
  <si>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</si>
  <si>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</si>
  <si>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</si>
  <si>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</si>
  <si>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</si>
  <si>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</si>
  <si>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</si>
  <si>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</si>
  <si>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</si>
  <si>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</si>
  <si>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</si>
  <si>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</si>
  <si>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</si>
  <si>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</si>
  <si>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</si>
  <si>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</si>
  <si>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</si>
  <si>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</si>
  <si>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</si>
  <si>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</si>
  <si>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</si>
  <si>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</si>
  <si>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</si>
  <si>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</si>
  <si>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</si>
  <si>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</si>
  <si>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</si>
  <si>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</si>
  <si>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</si>
  <si>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</si>
  <si>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</si>
  <si>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</si>
  <si>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</si>
  <si>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</si>
  <si>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</si>
  <si>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</si>
  <si>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</si>
  <si>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</si>
  <si>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</si>
  <si>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</si>
  <si>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</si>
  <si>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</si>
  <si>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</si>
  <si>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</si>
  <si>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</si>
  <si>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</si>
  <si>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</si>
  <si>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</si>
  <si>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</si>
  <si>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</si>
  <si>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</si>
  <si>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</si>
  <si>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</si>
  <si>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</si>
  <si>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</si>
  <si>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</si>
  <si>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</si>
  <si>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</si>
  <si>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</si>
  <si>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</si>
  <si>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</si>
  <si>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</si>
  <si>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</si>
  <si>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</si>
  <si>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</si>
  <si>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</si>
  <si>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</si>
  <si>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</si>
  <si>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</si>
  <si>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</si>
  <si>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</si>
  <si>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</si>
  <si>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</si>
  <si>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</si>
  <si>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</si>
  <si>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</si>
  <si>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</si>
  <si>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</si>
  <si>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</si>
  <si>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</si>
  <si>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</si>
  <si>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</si>
  <si>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</si>
  <si>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</si>
  <si>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</si>
  <si>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</si>
  <si>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</si>
  <si>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</si>
  <si>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</si>
  <si>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</si>
  <si>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</si>
  <si>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</si>
  <si>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</si>
  <si>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</si>
  <si>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</si>
  <si>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</si>
  <si>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</si>
  <si>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</si>
  <si>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</si>
  <si>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</si>
  <si>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</si>
  <si>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</si>
  <si>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</si>
  <si>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</si>
  <si>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</si>
  <si>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</si>
  <si>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</si>
  <si>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</si>
  <si>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</si>
  <si>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</si>
  <si>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</si>
  <si>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</si>
  <si>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</si>
  <si>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</si>
  <si>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</si>
  <si>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</si>
  <si>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</si>
  <si>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</si>
  <si>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</si>
  <si>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</si>
  <si>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</si>
  <si>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</si>
  <si>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</si>
  <si>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</si>
  <si>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</si>
  <si>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</si>
  <si>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</si>
  <si>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</si>
  <si>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</si>
  <si>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</si>
  <si>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</si>
  <si>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</si>
  <si>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</si>
  <si>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</si>
  <si>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</si>
  <si>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</si>
  <si>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</si>
  <si>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</si>
  <si>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</si>
  <si>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</si>
  <si>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</si>
  <si>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</si>
  <si>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</si>
  <si>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</si>
  <si>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</si>
  <si>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</si>
  <si>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</si>
  <si>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</si>
  <si>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</si>
  <si>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</si>
  <si>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</si>
  <si>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</si>
  <si>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</si>
  <si>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</si>
  <si>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</si>
  <si>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</si>
  <si>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</si>
  <si>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</si>
  <si>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</si>
  <si>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</si>
  <si>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</si>
  <si>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</si>
  <si>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</si>
  <si>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</si>
  <si>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</si>
  <si>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</si>
  <si>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</si>
  <si>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</si>
  <si>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</si>
  <si>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</si>
  <si>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</si>
  <si>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</si>
  <si>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</si>
  <si>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</si>
  <si>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</si>
  <si>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</si>
  <si>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</si>
  <si>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</si>
  <si>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</si>
  <si>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</si>
  <si>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</si>
  <si>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</si>
  <si>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</si>
  <si>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</si>
  <si>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</si>
  <si>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</si>
  <si>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</si>
  <si>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</si>
  <si>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</si>
  <si>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</si>
  <si>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</si>
  <si>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</si>
  <si>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</si>
  <si>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</si>
  <si>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</si>
  <si>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</si>
  <si>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</si>
  <si>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</si>
  <si>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</si>
  <si>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</si>
  <si>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</si>
  <si>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</si>
  <si>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</si>
  <si>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</si>
  <si>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</si>
  <si>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</si>
  <si>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</si>
  <si>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</si>
  <si>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</si>
  <si>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</si>
  <si>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</si>
  <si>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</si>
  <si>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01.01.2017.</t>
  </si>
  <si>
    <t>03334171</t>
  </si>
  <si>
    <t>080118427</t>
  </si>
  <si>
    <t>89018712265</t>
  </si>
  <si>
    <t>ZAGREB</t>
  </si>
  <si>
    <t>MIRAMARSKA CESTA 24</t>
  </si>
  <si>
    <t>janaf@janaf.hr</t>
  </si>
  <si>
    <t>www.janaf.hr</t>
  </si>
  <si>
    <t>4950</t>
  </si>
  <si>
    <t>MIRJANA  MATAIJA</t>
  </si>
  <si>
    <t>013039369</t>
  </si>
  <si>
    <t>013039423</t>
  </si>
  <si>
    <t>mirjana.mataija@janaf.hr</t>
  </si>
  <si>
    <t>DRAGAN  KOVAČEVIĆ</t>
  </si>
  <si>
    <t>1.1.2017.</t>
  </si>
  <si>
    <t>JANAF  GRUPA</t>
  </si>
  <si>
    <t>DA</t>
  </si>
  <si>
    <t>JANAF-upravljanje projektima d.o.o.</t>
  </si>
  <si>
    <t>Zagreb</t>
  </si>
  <si>
    <t>2608987</t>
  </si>
  <si>
    <t>Terminal Brod doo Bosna i Hercegovina</t>
  </si>
  <si>
    <t>Brod</t>
  </si>
  <si>
    <t>Obveznik: JANAF GRUPA</t>
  </si>
  <si>
    <t>Obveznik:   JANAF  GRUPA</t>
  </si>
  <si>
    <t>Obveznik:   JANAF GRUPA</t>
  </si>
  <si>
    <t>31.12.2017.</t>
  </si>
  <si>
    <t>stanje na dan  31.12.2017.</t>
  </si>
  <si>
    <t>u razdoblju  od  01.01.2017.  do  31.12.2017.</t>
  </si>
  <si>
    <t>u razdoblju od 1.1.2017. do 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</si>
</sst>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M19" sqref="M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1" t="s">
        <v>248</v>
      </c>
      <c r="B1" s="182"/>
      <c r="C1" s="182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8" t="s">
        <v>249</v>
      </c>
      <c r="B2" s="139"/>
      <c r="C2" s="139"/>
      <c r="D2" s="140"/>
      <c r="E2" s="118" t="s">
        <v>323</v>
      </c>
      <c r="F2" s="12"/>
      <c r="G2" s="13" t="s">
        <v>250</v>
      </c>
      <c r="H2" s="118" t="s">
        <v>348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1" t="s">
        <v>317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4" t="s">
        <v>251</v>
      </c>
      <c r="B6" s="145"/>
      <c r="C6" s="136" t="s">
        <v>324</v>
      </c>
      <c r="D6" s="137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6" t="s">
        <v>252</v>
      </c>
      <c r="B8" s="147"/>
      <c r="C8" s="136" t="s">
        <v>325</v>
      </c>
      <c r="D8" s="137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3" t="s">
        <v>253</v>
      </c>
      <c r="B10" s="134"/>
      <c r="C10" s="136" t="s">
        <v>326</v>
      </c>
      <c r="D10" s="13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5"/>
      <c r="B11" s="134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4" t="s">
        <v>254</v>
      </c>
      <c r="B12" s="145"/>
      <c r="C12" s="148" t="s">
        <v>338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4" t="s">
        <v>255</v>
      </c>
      <c r="B14" s="145"/>
      <c r="C14" s="151">
        <v>10000</v>
      </c>
      <c r="D14" s="152"/>
      <c r="E14" s="16"/>
      <c r="F14" s="148" t="s">
        <v>327</v>
      </c>
      <c r="G14" s="149"/>
      <c r="H14" s="149"/>
      <c r="I14" s="150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4" t="s">
        <v>256</v>
      </c>
      <c r="B16" s="145"/>
      <c r="C16" s="148" t="s">
        <v>328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4" t="s">
        <v>257</v>
      </c>
      <c r="B18" s="145"/>
      <c r="C18" s="153" t="s">
        <v>329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4" t="s">
        <v>258</v>
      </c>
      <c r="B20" s="145"/>
      <c r="C20" s="153" t="s">
        <v>330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4" t="s">
        <v>259</v>
      </c>
      <c r="B22" s="145"/>
      <c r="C22" s="119">
        <v>133</v>
      </c>
      <c r="D22" s="148"/>
      <c r="E22" s="156"/>
      <c r="F22" s="157"/>
      <c r="G22" s="144"/>
      <c r="H22" s="158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4" t="s">
        <v>260</v>
      </c>
      <c r="B24" s="145"/>
      <c r="C24" s="119">
        <v>21</v>
      </c>
      <c r="D24" s="148"/>
      <c r="E24" s="156"/>
      <c r="F24" s="156"/>
      <c r="G24" s="157"/>
      <c r="H24" s="51" t="s">
        <v>261</v>
      </c>
      <c r="I24" s="120">
        <v>391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4" t="s">
        <v>262</v>
      </c>
      <c r="B26" s="145"/>
      <c r="C26" s="121" t="s">
        <v>339</v>
      </c>
      <c r="D26" s="25"/>
      <c r="E26" s="33"/>
      <c r="F26" s="24"/>
      <c r="G26" s="159" t="s">
        <v>263</v>
      </c>
      <c r="H26" s="145"/>
      <c r="I26" s="122" t="s">
        <v>331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7" t="s">
        <v>340</v>
      </c>
      <c r="B30" s="168"/>
      <c r="C30" s="168"/>
      <c r="D30" s="169"/>
      <c r="E30" s="167" t="s">
        <v>341</v>
      </c>
      <c r="F30" s="168"/>
      <c r="G30" s="168"/>
      <c r="H30" s="136" t="s">
        <v>342</v>
      </c>
      <c r="I30" s="137"/>
      <c r="J30" s="10"/>
      <c r="K30" s="10"/>
      <c r="L30" s="10"/>
    </row>
    <row r="31" spans="1:12" ht="12.75">
      <c r="A31" s="92"/>
      <c r="B31" s="22"/>
      <c r="C31" s="21"/>
      <c r="D31" s="170"/>
      <c r="E31" s="170"/>
      <c r="F31" s="170"/>
      <c r="G31" s="171"/>
      <c r="H31" s="16"/>
      <c r="I31" s="99"/>
      <c r="J31" s="10"/>
      <c r="K31" s="10"/>
      <c r="L31" s="10"/>
    </row>
    <row r="32" spans="1:12" ht="12.75">
      <c r="A32" s="167" t="s">
        <v>343</v>
      </c>
      <c r="B32" s="168"/>
      <c r="C32" s="168"/>
      <c r="D32" s="169"/>
      <c r="E32" s="167" t="s">
        <v>344</v>
      </c>
      <c r="F32" s="168"/>
      <c r="G32" s="168"/>
      <c r="H32" s="136"/>
      <c r="I32" s="137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36"/>
      <c r="I34" s="137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36"/>
      <c r="I36" s="137"/>
      <c r="J36" s="10"/>
      <c r="K36" s="10"/>
      <c r="L36" s="10"/>
    </row>
    <row r="37" spans="1:12" ht="12.75">
      <c r="A37" s="101"/>
      <c r="B37" s="30"/>
      <c r="C37" s="172"/>
      <c r="D37" s="173"/>
      <c r="E37" s="16"/>
      <c r="F37" s="172"/>
      <c r="G37" s="173"/>
      <c r="H37" s="16"/>
      <c r="I37" s="93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36"/>
      <c r="I38" s="137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36"/>
      <c r="I40" s="13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3" t="s">
        <v>267</v>
      </c>
      <c r="B44" s="177"/>
      <c r="C44" s="136"/>
      <c r="D44" s="137"/>
      <c r="E44" s="26"/>
      <c r="F44" s="148"/>
      <c r="G44" s="168"/>
      <c r="H44" s="168"/>
      <c r="I44" s="169"/>
      <c r="J44" s="10"/>
      <c r="K44" s="10"/>
      <c r="L44" s="10"/>
    </row>
    <row r="45" spans="1:12" ht="12.75">
      <c r="A45" s="101"/>
      <c r="B45" s="30"/>
      <c r="C45" s="172"/>
      <c r="D45" s="173"/>
      <c r="E45" s="16"/>
      <c r="F45" s="172"/>
      <c r="G45" s="174"/>
      <c r="H45" s="35"/>
      <c r="I45" s="105"/>
      <c r="J45" s="10"/>
      <c r="K45" s="10"/>
      <c r="L45" s="10"/>
    </row>
    <row r="46" spans="1:12" ht="12.75">
      <c r="A46" s="133" t="s">
        <v>268</v>
      </c>
      <c r="B46" s="177"/>
      <c r="C46" s="148" t="s">
        <v>332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3" t="s">
        <v>270</v>
      </c>
      <c r="B48" s="177"/>
      <c r="C48" s="178" t="s">
        <v>333</v>
      </c>
      <c r="D48" s="179"/>
      <c r="E48" s="180"/>
      <c r="F48" s="16"/>
      <c r="G48" s="51" t="s">
        <v>271</v>
      </c>
      <c r="H48" s="178" t="s">
        <v>334</v>
      </c>
      <c r="I48" s="180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3" t="s">
        <v>257</v>
      </c>
      <c r="B50" s="177"/>
      <c r="C50" s="189" t="s">
        <v>335</v>
      </c>
      <c r="D50" s="179"/>
      <c r="E50" s="179"/>
      <c r="F50" s="179"/>
      <c r="G50" s="179"/>
      <c r="H50" s="179"/>
      <c r="I50" s="180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4" t="s">
        <v>272</v>
      </c>
      <c r="B52" s="145"/>
      <c r="C52" s="178" t="s">
        <v>336</v>
      </c>
      <c r="D52" s="179"/>
      <c r="E52" s="179"/>
      <c r="F52" s="179"/>
      <c r="G52" s="179"/>
      <c r="H52" s="179"/>
      <c r="I52" s="150"/>
      <c r="J52" s="10"/>
      <c r="K52" s="10"/>
      <c r="L52" s="10"/>
    </row>
    <row r="53" spans="1:12" ht="12.75">
      <c r="A53" s="106"/>
      <c r="B53" s="20"/>
      <c r="C53" s="183" t="s">
        <v>273</v>
      </c>
      <c r="D53" s="183"/>
      <c r="E53" s="183"/>
      <c r="F53" s="183"/>
      <c r="G53" s="183"/>
      <c r="H53" s="183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0" t="s">
        <v>274</v>
      </c>
      <c r="C55" s="191"/>
      <c r="D55" s="191"/>
      <c r="E55" s="191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2" t="s">
        <v>306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106"/>
      <c r="B57" s="192" t="s">
        <v>307</v>
      </c>
      <c r="C57" s="193"/>
      <c r="D57" s="193"/>
      <c r="E57" s="193"/>
      <c r="F57" s="193"/>
      <c r="G57" s="193"/>
      <c r="H57" s="193"/>
      <c r="I57" s="108"/>
      <c r="J57" s="10"/>
      <c r="K57" s="10"/>
      <c r="L57" s="10"/>
    </row>
    <row r="58" spans="1:12" ht="12.75">
      <c r="A58" s="106"/>
      <c r="B58" s="192" t="s">
        <v>308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106"/>
      <c r="B59" s="192" t="s">
        <v>309</v>
      </c>
      <c r="C59" s="193"/>
      <c r="D59" s="193"/>
      <c r="E59" s="193"/>
      <c r="F59" s="193"/>
      <c r="G59" s="193"/>
      <c r="H59" s="193"/>
      <c r="I59" s="194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4" t="s">
        <v>277</v>
      </c>
      <c r="H62" s="185"/>
      <c r="I62" s="186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7"/>
      <c r="H63" s="188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1">
      <selection activeCell="K61" sqref="K61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349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347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7" t="s">
        <v>278</v>
      </c>
      <c r="J4" s="58" t="s">
        <v>319</v>
      </c>
      <c r="K4" s="59" t="s">
        <v>320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6">
        <v>2</v>
      </c>
      <c r="J5" s="55">
        <v>3</v>
      </c>
      <c r="K5" s="55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127">
        <f>J9+J16+J26+J35+J39</f>
        <v>3060836471</v>
      </c>
      <c r="K8" s="127">
        <f>K9+K16+K26+K35+K39</f>
        <v>3349494263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119624092</v>
      </c>
      <c r="K9" s="53">
        <f>SUM(K10:K15)</f>
        <v>126474099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109840982</v>
      </c>
      <c r="K11" s="7">
        <v>114724709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9783110</v>
      </c>
      <c r="K14" s="7">
        <v>11749390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2940390516</v>
      </c>
      <c r="K16" s="53">
        <f>SUM(K17:K25)</f>
        <v>3222253139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384873717</v>
      </c>
      <c r="K17" s="7">
        <v>384953189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1177722503</v>
      </c>
      <c r="K18" s="7">
        <v>1401575843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467345313</v>
      </c>
      <c r="K19" s="7">
        <v>530686279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17603159</v>
      </c>
      <c r="K20" s="7">
        <v>23787607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36755567</v>
      </c>
      <c r="K22" s="7">
        <v>12629571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619911699</v>
      </c>
      <c r="K23" s="7">
        <v>631755395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236178558</v>
      </c>
      <c r="K24" s="7">
        <v>236865255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72670</v>
      </c>
      <c r="K35" s="53">
        <f>SUM(K36:K38)</f>
        <v>44052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72670</v>
      </c>
      <c r="K37" s="7">
        <v>44052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749193</v>
      </c>
      <c r="K39" s="7">
        <v>722973</v>
      </c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127">
        <f>J41+J49+J56+J64</f>
        <v>985615408</v>
      </c>
      <c r="K40" s="127">
        <f>K41+K49+K56+K64</f>
        <v>755502456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17300819</v>
      </c>
      <c r="K41" s="53">
        <f>SUM(K42:K48)</f>
        <v>17808158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17300819</v>
      </c>
      <c r="K42" s="7">
        <v>17808158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94777569</v>
      </c>
      <c r="K49" s="53">
        <f>SUM(K50:K55)</f>
        <v>63653579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91945606</v>
      </c>
      <c r="K51" s="7">
        <v>61064701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48861</v>
      </c>
      <c r="K53" s="7">
        <v>14595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288393</v>
      </c>
      <c r="K54" s="7">
        <v>272434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2494709</v>
      </c>
      <c r="K55" s="7">
        <v>2301849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47859735</v>
      </c>
      <c r="K56" s="53">
        <f>SUM(K57:K63)</f>
        <v>100001625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47859735</v>
      </c>
      <c r="K62" s="7">
        <v>100001625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825677285</v>
      </c>
      <c r="K64" s="7">
        <v>574039094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126">
        <v>2729004</v>
      </c>
      <c r="K65" s="126">
        <v>1943316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127">
        <f>J7+J8+J40+J65</f>
        <v>4049180883</v>
      </c>
      <c r="K66" s="127">
        <f>K7+K8+K40+K65</f>
        <v>4106940035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128">
        <v>3357256992</v>
      </c>
      <c r="K67" s="128">
        <v>3441782209</v>
      </c>
    </row>
    <row r="68" spans="1:11" ht="12.75">
      <c r="A68" s="200" t="s">
        <v>58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129">
        <f>J70+J71+J72+J78+J79+J82+J85</f>
        <v>3749195319</v>
      </c>
      <c r="K69" s="129">
        <f>K70+K71+K72+K78+K79+K82+K85</f>
        <v>3874169884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2851672140</v>
      </c>
      <c r="K70" s="7">
        <v>2952437940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53585</v>
      </c>
      <c r="K71" s="7">
        <v>53585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290107751</v>
      </c>
      <c r="K72" s="53">
        <f>K73+K74-K75+K76+K77</f>
        <v>304639298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52954980</v>
      </c>
      <c r="K73" s="7">
        <v>67479591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237152771</v>
      </c>
      <c r="K77" s="7">
        <v>237159707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316348014</v>
      </c>
      <c r="K79" s="53">
        <f>K80-K81</f>
        <v>325767324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316348014</v>
      </c>
      <c r="K80" s="7">
        <v>325767324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291013829</v>
      </c>
      <c r="K82" s="53">
        <f>K83-K84</f>
        <v>291271737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291013829</v>
      </c>
      <c r="K83" s="7">
        <v>291271737</v>
      </c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127">
        <f>SUM(J87:J89)</f>
        <v>31181141</v>
      </c>
      <c r="K86" s="127">
        <f>SUM(K87:K89)</f>
        <v>27806754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10557427</v>
      </c>
      <c r="K87" s="7">
        <v>8897360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20623714</v>
      </c>
      <c r="K89" s="7">
        <v>18909394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127">
        <f>SUM(J91:J99)</f>
        <v>144523161</v>
      </c>
      <c r="K90" s="127">
        <f>SUM(K91:K99)</f>
        <v>80098150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144523161</v>
      </c>
      <c r="K98" s="7">
        <v>80098150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27">
        <f>SUM(J101:J112)</f>
        <v>109173641</v>
      </c>
      <c r="K100" s="127">
        <f>SUM(K101:K112)</f>
        <v>120731686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>
        <v>500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94203175</v>
      </c>
      <c r="K105" s="7">
        <v>100335015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5015032</v>
      </c>
      <c r="K108" s="7">
        <v>3937205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7787786</v>
      </c>
      <c r="K109" s="7">
        <v>15631571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25465</v>
      </c>
      <c r="K110" s="7">
        <v>20095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2142183</v>
      </c>
      <c r="K112" s="7">
        <v>807300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126">
        <v>15107621</v>
      </c>
      <c r="K113" s="126">
        <v>4133561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27">
        <f>J69+J86+J90+J100+J113</f>
        <v>4049180883</v>
      </c>
      <c r="K114" s="127">
        <f>K69+K86+K90+K100+K113</f>
        <v>4106940035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128">
        <v>3357256992</v>
      </c>
      <c r="K115" s="128">
        <v>3441782209</v>
      </c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3749195319</v>
      </c>
      <c r="K118" s="7">
        <v>3874169884</v>
      </c>
    </row>
    <row r="119" spans="1:11" ht="12.75">
      <c r="A119" s="214" t="s">
        <v>9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/>
      <c r="K119" s="8"/>
    </row>
    <row r="120" spans="1:11" ht="12.75">
      <c r="A120" s="217" t="s">
        <v>311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20" sqref="L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0" t="s">
        <v>350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4" t="s">
        <v>346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7" t="s">
        <v>279</v>
      </c>
      <c r="J4" s="256" t="s">
        <v>319</v>
      </c>
      <c r="K4" s="256"/>
      <c r="L4" s="256" t="s">
        <v>320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129">
        <f>SUM(J8:J9)</f>
        <v>734998312</v>
      </c>
      <c r="K7" s="129">
        <f>SUM(K8:K9)</f>
        <v>208148386</v>
      </c>
      <c r="L7" s="129">
        <f>SUM(L8:L9)</f>
        <v>755283427</v>
      </c>
      <c r="M7" s="129">
        <f>SUM(M8:M9)</f>
        <v>231741517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126">
        <v>709499559</v>
      </c>
      <c r="K8" s="126">
        <f>J8-524854976</f>
        <v>184644583</v>
      </c>
      <c r="L8" s="126">
        <v>701176443</v>
      </c>
      <c r="M8" s="126">
        <f>L8-521160626</f>
        <v>180015817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126">
        <v>25498753</v>
      </c>
      <c r="K9" s="126">
        <f>J9-1994950</f>
        <v>23503803</v>
      </c>
      <c r="L9" s="126">
        <v>54106984</v>
      </c>
      <c r="M9" s="126">
        <f>L9-2381284</f>
        <v>51725700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127">
        <f>J11+J12+J16+J20+J21+J22+J25+J26</f>
        <v>400668218</v>
      </c>
      <c r="K10" s="127">
        <f>K11+K12+K16+K20+K21+K22+K25+K26</f>
        <v>102731470</v>
      </c>
      <c r="L10" s="127">
        <f>L11+L12+L16+L20+L21+L22+L25+L26</f>
        <v>390727766</v>
      </c>
      <c r="M10" s="127">
        <f>M11+M12+M16+M20+M21+M22+M25+M26</f>
        <v>105444520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/>
      <c r="K11" s="7"/>
      <c r="L11" s="7"/>
      <c r="M11" s="7"/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127">
        <f>SUM(J13:J15)</f>
        <v>92275775</v>
      </c>
      <c r="K12" s="127">
        <f>SUM(K13:K15)</f>
        <v>32125744</v>
      </c>
      <c r="L12" s="127">
        <f>SUM(L13:L15)</f>
        <v>103952632</v>
      </c>
      <c r="M12" s="127">
        <f>SUM(M13:M15)</f>
        <v>33318066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29581537</v>
      </c>
      <c r="K13" s="7">
        <f>J13-19957655</f>
        <v>9623882</v>
      </c>
      <c r="L13" s="7">
        <v>33507913</v>
      </c>
      <c r="M13" s="7">
        <f>L13-22788434</f>
        <v>10719479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62694238</v>
      </c>
      <c r="K15" s="7">
        <f>J15-40192376</f>
        <v>22501862</v>
      </c>
      <c r="L15" s="7">
        <v>70444719</v>
      </c>
      <c r="M15" s="7">
        <f>L15-47846132</f>
        <v>22598587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127">
        <f>SUM(J17:J19)</f>
        <v>77800574</v>
      </c>
      <c r="K16" s="127">
        <f>SUM(K17:K19)</f>
        <v>18999354</v>
      </c>
      <c r="L16" s="127">
        <f>SUM(L17:L19)</f>
        <v>78587433</v>
      </c>
      <c r="M16" s="127">
        <f>SUM(M17:M19)</f>
        <v>21832727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43314261</v>
      </c>
      <c r="K17" s="7">
        <f>J17-32858923</f>
        <v>10455338</v>
      </c>
      <c r="L17" s="7">
        <v>45131514</v>
      </c>
      <c r="M17" s="7">
        <f>L17-32862953</f>
        <v>12268561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22872876</v>
      </c>
      <c r="K18" s="7">
        <f>J18-17227827</f>
        <v>5645049</v>
      </c>
      <c r="L18" s="7">
        <v>21769639</v>
      </c>
      <c r="M18" s="7">
        <f>L18-15512593</f>
        <v>6257046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11613437</v>
      </c>
      <c r="K19" s="7">
        <f>J19-8714470</f>
        <v>2898967</v>
      </c>
      <c r="L19" s="7">
        <v>11686280</v>
      </c>
      <c r="M19" s="7">
        <f>L19-8379160</f>
        <v>3307120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126">
        <v>199765665</v>
      </c>
      <c r="K20" s="126">
        <f>J20-149639873</f>
        <v>50125792</v>
      </c>
      <c r="L20" s="126">
        <v>169088118</v>
      </c>
      <c r="M20" s="126">
        <f>L20-137534726</f>
        <v>31553392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126">
        <v>24517739</v>
      </c>
      <c r="K21" s="126">
        <f>J21-19335456</f>
        <v>5182283</v>
      </c>
      <c r="L21" s="126">
        <v>26349462</v>
      </c>
      <c r="M21" s="126">
        <f>L21-19830518</f>
        <v>6518944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1848247</v>
      </c>
      <c r="K22" s="53">
        <f>SUM(K23:K24)</f>
        <v>1848247</v>
      </c>
      <c r="L22" s="53">
        <f>SUM(L23:L24)</f>
        <v>6620645</v>
      </c>
      <c r="M22" s="53">
        <f>SUM(M23:M24)</f>
        <v>6620645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1848247</v>
      </c>
      <c r="K24" s="7">
        <f>J24-0</f>
        <v>1848247</v>
      </c>
      <c r="L24" s="7">
        <v>6620645</v>
      </c>
      <c r="M24" s="7">
        <f>L24-0</f>
        <v>6620645</v>
      </c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126">
        <v>2631247</v>
      </c>
      <c r="K25" s="126">
        <f>J25-8385450</f>
        <v>-5754203</v>
      </c>
      <c r="L25" s="126">
        <v>2997388</v>
      </c>
      <c r="M25" s="126">
        <f>L25-0</f>
        <v>2997388</v>
      </c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126">
        <v>1828971</v>
      </c>
      <c r="K26" s="126">
        <f>J26-1624718</f>
        <v>204253</v>
      </c>
      <c r="L26" s="126">
        <v>3132088</v>
      </c>
      <c r="M26" s="126">
        <f>L26-528730</f>
        <v>2603358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127">
        <f>SUM(J28:J32)</f>
        <v>17650030</v>
      </c>
      <c r="K27" s="127">
        <f>SUM(K28:K32)</f>
        <v>10223538</v>
      </c>
      <c r="L27" s="127">
        <f>SUM(L28:L32)</f>
        <v>25423063</v>
      </c>
      <c r="M27" s="127">
        <f>SUM(M28:M32)</f>
        <v>19840147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126"/>
      <c r="K28" s="126"/>
      <c r="L28" s="126"/>
      <c r="M28" s="126"/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126">
        <v>16797360</v>
      </c>
      <c r="K29" s="126">
        <f>J29-7042017</f>
        <v>9755343</v>
      </c>
      <c r="L29" s="126">
        <v>24514404</v>
      </c>
      <c r="M29" s="126">
        <f>L29-4959453</f>
        <v>19554951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126"/>
      <c r="K30" s="126"/>
      <c r="L30" s="126"/>
      <c r="M30" s="126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126"/>
      <c r="K31" s="126"/>
      <c r="L31" s="126"/>
      <c r="M31" s="126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126">
        <v>852670</v>
      </c>
      <c r="K32" s="126">
        <f>J32-384475</f>
        <v>468195</v>
      </c>
      <c r="L32" s="126">
        <v>908659</v>
      </c>
      <c r="M32" s="126">
        <f>L32-623463</f>
        <v>285196</v>
      </c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127">
        <f>SUM(J34:J37)</f>
        <v>13186598</v>
      </c>
      <c r="K33" s="127">
        <f>SUM(K34:K37)</f>
        <v>6591851</v>
      </c>
      <c r="L33" s="127">
        <f>SUM(L34:L37)</f>
        <v>34772103</v>
      </c>
      <c r="M33" s="127">
        <f>SUM(M34:M37)</f>
        <v>27042333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126"/>
      <c r="K34" s="126"/>
      <c r="L34" s="126"/>
      <c r="M34" s="126"/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126">
        <v>13156563</v>
      </c>
      <c r="K35" s="126">
        <f>J35-6564712</f>
        <v>6591851</v>
      </c>
      <c r="L35" s="126">
        <v>34772103</v>
      </c>
      <c r="M35" s="126">
        <f>L35-7729770</f>
        <v>27042333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126"/>
      <c r="K36" s="126"/>
      <c r="L36" s="126"/>
      <c r="M36" s="126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126">
        <v>30035</v>
      </c>
      <c r="K37" s="126">
        <f>J37-30035</f>
        <v>0</v>
      </c>
      <c r="L37" s="126"/>
      <c r="M37" s="126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126"/>
      <c r="K41" s="126"/>
      <c r="L41" s="126"/>
      <c r="M41" s="126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127">
        <f>J7+J27+J38+J40</f>
        <v>752648342</v>
      </c>
      <c r="K42" s="127">
        <f>K7+K27+K38+K40</f>
        <v>218371924</v>
      </c>
      <c r="L42" s="127">
        <f>L7+L27+L38+L40</f>
        <v>780706490</v>
      </c>
      <c r="M42" s="127">
        <f>M7+M27+M38+M40</f>
        <v>251581664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127">
        <f>J10+J33+J39+J41</f>
        <v>413854816</v>
      </c>
      <c r="K43" s="127">
        <f>K10+K33+K39+K41</f>
        <v>109323321</v>
      </c>
      <c r="L43" s="127">
        <f>L10+L33+L39+L41</f>
        <v>425499869</v>
      </c>
      <c r="M43" s="127">
        <f>M10+M33+M39+M41</f>
        <v>132486853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127">
        <f>J42-J43</f>
        <v>338793526</v>
      </c>
      <c r="K44" s="127">
        <f>K42-K43</f>
        <v>109048603</v>
      </c>
      <c r="L44" s="127">
        <f>L42-L43</f>
        <v>355206621</v>
      </c>
      <c r="M44" s="127">
        <f>M42-M43</f>
        <v>119094811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338793526</v>
      </c>
      <c r="K45" s="53">
        <f>IF(K42&gt;K43,K42-K43,0)</f>
        <v>109048603</v>
      </c>
      <c r="L45" s="53">
        <f>IF(L42&gt;L43,L42-L43,0)</f>
        <v>355206621</v>
      </c>
      <c r="M45" s="53">
        <f>IF(M42&gt;M43,M42-M43,0)</f>
        <v>119094811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126">
        <v>47779697</v>
      </c>
      <c r="K47" s="126">
        <f>J47-45845940</f>
        <v>1933757</v>
      </c>
      <c r="L47" s="126">
        <v>63934884</v>
      </c>
      <c r="M47" s="126">
        <f>L47-42444545</f>
        <v>21490339</v>
      </c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127">
        <f>J44-J47</f>
        <v>291013829</v>
      </c>
      <c r="K48" s="127">
        <f>K44-K47</f>
        <v>107114846</v>
      </c>
      <c r="L48" s="127">
        <f>L44-L47</f>
        <v>291271737</v>
      </c>
      <c r="M48" s="127">
        <f>M44-M47</f>
        <v>97604472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291013829</v>
      </c>
      <c r="K49" s="53">
        <f>IF(K48&gt;0,K48,0)</f>
        <v>107114846</v>
      </c>
      <c r="L49" s="53">
        <f>IF(L48&gt;0,L48,0)</f>
        <v>291271737</v>
      </c>
      <c r="M49" s="53">
        <f>IF(M48&gt;0,M48,0)</f>
        <v>97604472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4"/>
      <c r="J52" s="54"/>
      <c r="K52" s="54"/>
      <c r="L52" s="54"/>
      <c r="M52" s="61"/>
    </row>
    <row r="53" spans="1:13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>
        <v>291013829</v>
      </c>
      <c r="K53" s="7">
        <v>107114846</v>
      </c>
      <c r="L53" s="7">
        <v>291271737</v>
      </c>
      <c r="M53" s="7">
        <v>97604472</v>
      </c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130">
        <v>291013829</v>
      </c>
      <c r="K56" s="130">
        <v>107114846</v>
      </c>
      <c r="L56" s="130">
        <v>291271737</v>
      </c>
      <c r="M56" s="130">
        <v>97604472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131">
        <f>J56+J66</f>
        <v>291013829</v>
      </c>
      <c r="K67" s="131">
        <f>K56+K66</f>
        <v>107114846</v>
      </c>
      <c r="L67" s="131">
        <f>L56+L66</f>
        <v>291271737</v>
      </c>
      <c r="M67" s="131">
        <f>M56+M66</f>
        <v>97604472</v>
      </c>
    </row>
    <row r="68" spans="1:13" ht="12.75" customHeight="1">
      <c r="A68" s="244" t="s">
        <v>313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126">
        <v>291013829</v>
      </c>
      <c r="K70" s="126">
        <v>107114846</v>
      </c>
      <c r="L70" s="126">
        <v>291271737</v>
      </c>
      <c r="M70" s="126">
        <v>97604472</v>
      </c>
    </row>
    <row r="71" spans="1:13" ht="12.75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8" sqref="K48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351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345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7">
        <v>2</v>
      </c>
      <c r="J5" s="68" t="s">
        <v>283</v>
      </c>
      <c r="K5" s="68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7"/>
      <c r="J6" s="257"/>
      <c r="K6" s="258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338793526</v>
      </c>
      <c r="K7" s="7">
        <v>355206621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199765665</v>
      </c>
      <c r="K8" s="7">
        <v>169088118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23316912</v>
      </c>
      <c r="K9" s="7">
        <v>583985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33258846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14730306</v>
      </c>
      <c r="K12" s="7"/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132">
        <f>SUM(J7:J12)</f>
        <v>576606409</v>
      </c>
      <c r="K13" s="127">
        <f>SUM(K7:K12)</f>
        <v>558137570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36256522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1809665</v>
      </c>
      <c r="K16" s="7">
        <v>507339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76697516</v>
      </c>
      <c r="K17" s="7">
        <v>138354183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132">
        <f>SUM(J14:J17)</f>
        <v>114763703</v>
      </c>
      <c r="K18" s="127">
        <f>SUM(K14:K17)</f>
        <v>138861522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132">
        <f>IF(J13&gt;J18,J13-J18,0)</f>
        <v>461842706</v>
      </c>
      <c r="K19" s="127">
        <f>IF(K13&gt;K18,K13-K18,0)</f>
        <v>419276048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7"/>
      <c r="J21" s="257"/>
      <c r="K21" s="258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2920</v>
      </c>
      <c r="K22" s="7">
        <v>360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7735685</v>
      </c>
      <c r="K24" s="7">
        <v>5399058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165074795</v>
      </c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132">
        <f>SUM(J22:J26)</f>
        <v>172813400</v>
      </c>
      <c r="K27" s="127">
        <f>SUM(K22:K26)</f>
        <v>5399418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364427270</v>
      </c>
      <c r="K28" s="7">
        <v>457878197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v>52141890</v>
      </c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132">
        <f>SUM(J28:J30)</f>
        <v>364427270</v>
      </c>
      <c r="K31" s="127">
        <f>SUM(K28:K30)</f>
        <v>510020087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132">
        <f>IF(J27&gt;J31,J27-J31,0)</f>
        <v>0</v>
      </c>
      <c r="K32" s="53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132">
        <f>IF(J31&gt;J27,J31-J27,0)</f>
        <v>191613870</v>
      </c>
      <c r="K33" s="127">
        <f>IF(K31&gt;K27,K31-K27,0)</f>
        <v>504620669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7"/>
      <c r="J34" s="257"/>
      <c r="K34" s="258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3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133192590</v>
      </c>
      <c r="K40" s="7">
        <v>166263570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>
        <v>30000</v>
      </c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3">
        <f>SUM(J39:J43)</f>
        <v>133192590</v>
      </c>
      <c r="K44" s="53">
        <f>SUM(K39:K43)</f>
        <v>166293570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132">
        <f>IF(J44&gt;J38,J44-J38,0)</f>
        <v>133192590</v>
      </c>
      <c r="K46" s="127">
        <f>IF(K44&gt;K38,K44-K38,0)</f>
        <v>166293570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IF(J19-J20+J32-J33+J45-J46&gt;0,J19-J20+J32-J33+J45-J46,0)</f>
        <v>137036246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251638191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688641039</v>
      </c>
      <c r="K49" s="7">
        <v>825677285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137036246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251638191</v>
      </c>
    </row>
    <row r="52" spans="1:11" ht="12.75">
      <c r="A52" s="214" t="s">
        <v>177</v>
      </c>
      <c r="B52" s="215"/>
      <c r="C52" s="215"/>
      <c r="D52" s="215"/>
      <c r="E52" s="215"/>
      <c r="F52" s="215"/>
      <c r="G52" s="215"/>
      <c r="H52" s="215"/>
      <c r="I52" s="4">
        <v>44</v>
      </c>
      <c r="J52" s="64">
        <f>J49+J50-J51</f>
        <v>825677285</v>
      </c>
      <c r="K52" s="60">
        <f>K49+K50-K51</f>
        <v>574039094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0" sqref="A30:H3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1">
        <v>2</v>
      </c>
      <c r="J5" s="72" t="s">
        <v>283</v>
      </c>
      <c r="K5" s="72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7"/>
      <c r="J6" s="257"/>
      <c r="K6" s="258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1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7"/>
      <c r="J22" s="257"/>
      <c r="K22" s="258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7">
        <v>0</v>
      </c>
      <c r="J35" s="257"/>
      <c r="K35" s="258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8" sqref="K18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1.421875" style="75" customWidth="1"/>
    <col min="11" max="11" width="10.8515625" style="75" bestFit="1" customWidth="1"/>
    <col min="12" max="16384" width="9.140625" style="75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4"/>
    </row>
    <row r="2" spans="1:12" ht="15.75">
      <c r="A2" s="42"/>
      <c r="B2" s="73"/>
      <c r="C2" s="273" t="s">
        <v>282</v>
      </c>
      <c r="D2" s="273"/>
      <c r="E2" s="76" t="s">
        <v>337</v>
      </c>
      <c r="F2" s="43" t="s">
        <v>250</v>
      </c>
      <c r="G2" s="274" t="s">
        <v>348</v>
      </c>
      <c r="H2" s="275"/>
      <c r="I2" s="73"/>
      <c r="J2" s="73"/>
      <c r="K2" s="73"/>
      <c r="L2" s="77"/>
    </row>
    <row r="3" spans="1:11" ht="23.25">
      <c r="A3" s="276" t="s">
        <v>59</v>
      </c>
      <c r="B3" s="276"/>
      <c r="C3" s="276"/>
      <c r="D3" s="276"/>
      <c r="E3" s="276"/>
      <c r="F3" s="276"/>
      <c r="G3" s="276"/>
      <c r="H3" s="276"/>
      <c r="I3" s="79" t="s">
        <v>305</v>
      </c>
      <c r="J3" s="80" t="s">
        <v>150</v>
      </c>
      <c r="K3" s="80" t="s">
        <v>151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82">
        <v>2</v>
      </c>
      <c r="J4" s="81" t="s">
        <v>283</v>
      </c>
      <c r="K4" s="81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2851672140</v>
      </c>
      <c r="K5" s="45">
        <v>2952437940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46">
        <v>53585</v>
      </c>
      <c r="K6" s="46">
        <v>53585</v>
      </c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290107751</v>
      </c>
      <c r="K7" s="46">
        <v>304639298</v>
      </c>
    </row>
    <row r="8" spans="1:11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316348014</v>
      </c>
      <c r="K8" s="46">
        <v>325767324</v>
      </c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291013829</v>
      </c>
      <c r="K9" s="46">
        <v>291271737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/>
      <c r="K12" s="46"/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/>
      <c r="K13" s="46"/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127">
        <f>SUM(J5:J13)</f>
        <v>3749195319</v>
      </c>
      <c r="K14" s="127">
        <f>SUM(K5:K13)</f>
        <v>3874169884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131">
        <f>SUM(J15:J20)</f>
        <v>0</v>
      </c>
      <c r="K21" s="78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/>
      <c r="K23" s="45"/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8">
        <v>19</v>
      </c>
      <c r="J24" s="78"/>
      <c r="K24" s="78"/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Lucijana Strnad</cp:lastModifiedBy>
  <cp:lastPrinted>2018-02-08T14:53:28Z</cp:lastPrinted>
  <dcterms:created xsi:type="dcterms:W3CDTF">2008-10-17T11:51:54Z</dcterms:created>
  <dcterms:modified xsi:type="dcterms:W3CDTF">2018-02-26T10:14:39Z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