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<sst xmlns="http://schemas.openxmlformats.org/spreadsheetml/2006/main" count="4927" uniqueCount="2988">
  <si>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</si>
  <si>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</si>
  <si>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</si>
  <si>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</si>
  <si>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</si>
  <si>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</si>
  <si>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</si>
  <si>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</si>
  <si>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</si>
  <si>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</si>
  <si>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</si>
  <si>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</si>
  <si>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</si>
  <si>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</si>
  <si>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</si>
  <si>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</si>
  <si>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</si>
  <si>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</si>
  <si>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</si>
  <si>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</si>
  <si>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</si>
  <si>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</si>
  <si>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</si>
  <si>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</si>
  <si>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</si>
  <si>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</si>
  <si>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</si>
  <si>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</si>
  <si>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</si>
  <si>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</si>
  <si>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</si>
  <si>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</si>
  <si>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</si>
  <si>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</si>
  <si>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</si>
  <si>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</si>
  <si>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</si>
  <si>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</si>
  <si>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</si>
  <si>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</si>
  <si>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</si>
  <si>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</si>
  <si>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</si>
  <si>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</si>
  <si>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</si>
  <si>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</si>
  <si>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</si>
  <si>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</si>
  <si>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</si>
  <si>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</si>
  <si>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</si>
  <si>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</si>
  <si>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</si>
  <si>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</si>
  <si>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</si>
  <si>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</si>
  <si>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</si>
  <si>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</si>
  <si>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</si>
  <si>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</si>
  <si>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</si>
  <si>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</si>
  <si>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</si>
  <si>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</si>
  <si>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</si>
  <si>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</si>
  <si>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</si>
  <si>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</si>
  <si>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</si>
  <si>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</si>
  <si>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</si>
  <si>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</si>
  <si>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</si>
  <si>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</si>
  <si>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</si>
  <si>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</si>
  <si>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</si>
  <si>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</si>
  <si>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</si>
  <si>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</si>
  <si>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</si>
  <si>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</si>
  <si>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</si>
  <si>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</si>
  <si>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</si>
  <si>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</si>
  <si>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</si>
  <si>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</si>
  <si>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</si>
  <si>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</si>
  <si>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</si>
  <si>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</si>
  <si>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</si>
  <si>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</si>
  <si>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</si>
  <si>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</si>
  <si>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</si>
  <si>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</si>
  <si>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</si>
  <si>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</si>
  <si>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</si>
  <si>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</si>
  <si>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</si>
  <si>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</si>
  <si>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</si>
  <si>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</si>
  <si>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</si>
  <si>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</si>
  <si>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</si>
  <si>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</si>
  <si>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</si>
  <si>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</si>
  <si>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</si>
  <si>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</si>
  <si>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</si>
  <si>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</si>
  <si>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</si>
  <si>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</si>
  <si>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</si>
  <si>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</si>
  <si>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</si>
  <si>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</si>
  <si>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</si>
  <si>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</si>
  <si>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</si>
  <si>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</si>
  <si>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</si>
  <si>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</si>
  <si>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</si>
  <si>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</si>
  <si>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</si>
  <si>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</si>
  <si>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</si>
  <si>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</si>
  <si>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</si>
  <si>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</si>
  <si>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</si>
  <si>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</si>
  <si>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</si>
  <si>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</si>
  <si>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</si>
  <si>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</si>
  <si>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</si>
  <si>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</si>
  <si>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</si>
  <si>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</si>
  <si>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</si>
  <si>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</si>
  <si>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</si>
  <si>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</si>
  <si>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</si>
  <si>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</si>
  <si>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</si>
  <si>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</si>
  <si>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</si>
  <si>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</si>
  <si>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</si>
  <si>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</si>
  <si>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</si>
  <si>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</si>
  <si>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</si>
  <si>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</si>
  <si>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</si>
  <si>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</si>
  <si>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</si>
  <si>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</si>
  <si>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</si>
  <si>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</si>
  <si>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</si>
  <si>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</si>
  <si>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</si>
  <si>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</si>
  <si>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</si>
  <si>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</si>
  <si>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</si>
  <si>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</si>
  <si>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</si>
  <si>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</si>
  <si>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</si>
  <si>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</si>
  <si>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</si>
  <si>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</si>
  <si>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</si>
  <si>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</si>
  <si>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</si>
  <si>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</si>
  <si>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</si>
  <si>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</si>
  <si>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</si>
  <si>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</si>
  <si>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</si>
  <si>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</si>
  <si>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</si>
  <si>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</si>
  <si>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</si>
  <si>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</si>
  <si>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</si>
  <si>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</si>
  <si>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</si>
  <si>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</si>
  <si>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</si>
  <si>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</si>
  <si>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</si>
  <si>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</si>
  <si>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</si>
  <si>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</si>
  <si>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</si>
  <si>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</si>
  <si>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</si>
  <si>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</si>
  <si>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</si>
  <si>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</si>
  <si>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</si>
  <si>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</si>
  <si>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</si>
  <si>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</si>
  <si>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</si>
  <si>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</si>
  <si>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</si>
  <si>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</si>
  <si>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</si>
  <si>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</si>
  <si>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</si>
  <si>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</si>
  <si>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</si>
  <si>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</si>
  <si>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</si>
  <si>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</si>
  <si>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</si>
  <si>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</si>
  <si>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</si>
  <si>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</si>
  <si>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</si>
  <si>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</si>
  <si>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</si>
  <si>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</si>
  <si>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</si>
  <si>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</si>
  <si>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</si>
  <si>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</si>
  <si>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</si>
  <si>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</si>
  <si>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</si>
  <si>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</si>
  <si>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</si>
  <si>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</si>
  <si>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</si>
  <si>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</si>
  <si>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</si>
  <si>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</si>
  <si>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</si>
  <si>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</si>
  <si>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</si>
  <si>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</si>
  <si>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</si>
  <si>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</si>
  <si>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</si>
  <si>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</si>
  <si>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</si>
  <si>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</si>
  <si>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</si>
  <si>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</si>
  <si>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</si>
  <si>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</si>
  <si>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</si>
  <si>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</si>
  <si>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</si>
  <si>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</si>
  <si>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</si>
  <si>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</si>
  <si>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</si>
  <si>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</si>
  <si>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</si>
  <si>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</si>
  <si>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</si>
  <si>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</si>
  <si>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</si>
  <si>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</si>
  <si>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</si>
  <si>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</si>
  <si>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</si>
  <si>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</si>
  <si>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</si>
  <si>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</si>
  <si>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</si>
  <si>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</si>
  <si>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</si>
  <si>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</si>
  <si>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</si>
  <si>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</si>
  <si>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</si>
  <si>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</si>
  <si>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</si>
  <si>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</si>
  <si>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</si>
  <si>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</si>
  <si>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</si>
  <si>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</si>
  <si>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</si>
  <si>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</si>
  <si>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</si>
  <si>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</si>
  <si>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</si>
  <si>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</si>
  <si>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</si>
  <si>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</si>
  <si>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</si>
  <si>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</si>
  <si>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</si>
  <si>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</si>
  <si>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</si>
  <si>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</si>
  <si>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</si>
  <si>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</si>
  <si>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</si>
  <si>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</si>
  <si>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</si>
  <si>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</si>
  <si>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</si>
  <si>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</si>
  <si>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</si>
  <si>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</si>
  <si>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</si>
  <si>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</si>
  <si>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</si>
  <si>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</si>
  <si>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</si>
  <si>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</si>
  <si>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</si>
  <si>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</si>
  <si>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</si>
  <si>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</si>
  <si>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</si>
  <si>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</si>
  <si>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</si>
  <si>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</si>
  <si>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</si>
  <si>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</si>
  <si>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</si>
  <si>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</si>
  <si>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</si>
  <si>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</si>
  <si>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</si>
  <si>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</si>
  <si>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</si>
  <si>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</si>
  <si>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</si>
  <si>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</si>
  <si>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</si>
  <si>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</si>
  <si>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</si>
  <si>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</si>
  <si>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</si>
  <si>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</si>
  <si>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</si>
  <si>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</si>
  <si>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</si>
  <si>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</si>
  <si>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</si>
  <si>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</si>
  <si>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</si>
  <si>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</si>
  <si>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</si>
  <si>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</si>
  <si>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</si>
  <si>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</si>
  <si>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</si>
  <si>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</si>
  <si>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</si>
  <si>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</si>
  <si>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</si>
  <si>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</si>
  <si>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</si>
  <si>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</si>
  <si>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</si>
  <si>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</si>
  <si>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</si>
  <si>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</si>
  <si>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</si>
  <si>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</si>
  <si>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</si>
  <si>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</si>
  <si>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</si>
  <si>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</si>
  <si>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</si>
  <si>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</si>
  <si>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</si>
  <si>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</si>
  <si>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</si>
  <si>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</si>
  <si>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</si>
  <si>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</si>
  <si>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</si>
  <si>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</si>
  <si>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</si>
  <si>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</si>
  <si>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</si>
  <si>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</si>
  <si>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</si>
  <si>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</si>
  <si>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</si>
  <si>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</si>
  <si>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</si>
  <si>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</si>
  <si>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</si>
  <si>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</si>
  <si>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</si>
  <si>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</si>
  <si>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</si>
  <si>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</si>
  <si>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</si>
  <si>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</si>
  <si>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</si>
  <si>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</si>
  <si>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</si>
  <si>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</si>
  <si>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</si>
  <si>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</si>
  <si>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</si>
  <si>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</si>
  <si>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</si>
  <si>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</si>
  <si>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</si>
  <si>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</si>
  <si>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</si>
  <si>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</si>
  <si>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</si>
  <si>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</si>
  <si>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</si>
  <si>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</si>
  <si>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</si>
  <si>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</si>
  <si>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</si>
  <si>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</si>
  <si>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</si>
  <si>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</si>
  <si>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</si>
  <si>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</si>
  <si>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</si>
  <si>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</si>
  <si>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</si>
  <si>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</si>
  <si>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</si>
  <si>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</si>
  <si>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</si>
  <si>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</si>
  <si>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</si>
  <si>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</si>
  <si>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</si>
  <si>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</si>
  <si>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</si>
  <si>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</si>
  <si>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</si>
  <si>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</si>
  <si>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</si>
  <si>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</si>
  <si>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</si>
  <si>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</si>
  <si>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</si>
  <si>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</si>
  <si>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</si>
  <si>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</si>
  <si>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</si>
  <si>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</si>
  <si>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</si>
  <si>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</si>
  <si>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</si>
  <si>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</si>
  <si>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</si>
  <si>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</si>
  <si>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</si>
  <si>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</si>
  <si>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</si>
  <si>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</si>
  <si>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</si>
  <si>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</si>
  <si>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</si>
  <si>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</si>
  <si>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</si>
  <si>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</si>
  <si>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</si>
  <si>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</si>
  <si>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</si>
  <si>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</si>
  <si>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</si>
  <si>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</si>
  <si>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</si>
  <si>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</si>
  <si>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</si>
  <si>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</si>
  <si>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</si>
  <si>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</si>
  <si>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</si>
  <si>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</si>
  <si>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</si>
  <si>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</si>
  <si>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</si>
  <si>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</si>
  <si>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</si>
  <si>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</si>
  <si>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</si>
  <si>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</si>
  <si>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</si>
  <si>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</si>
  <si>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</si>
  <si>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</si>
  <si>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</si>
  <si>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</si>
  <si>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</si>
  <si>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</si>
  <si>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</si>
  <si>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</si>
  <si>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</si>
  <si>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</si>
  <si>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</si>
  <si>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</si>
  <si>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</si>
  <si>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</si>
  <si>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</si>
  <si>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</si>
  <si>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</si>
  <si>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</si>
  <si>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</si>
  <si>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</si>
  <si>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</si>
  <si>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</si>
  <si>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</si>
  <si>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</si>
  <si>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</si>
  <si>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</si>
  <si>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</si>
  <si>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</si>
  <si>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</si>
  <si>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</si>
  <si>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</si>
  <si>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</si>
  <si>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</si>
  <si>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</si>
  <si>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</si>
  <si>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</si>
  <si>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</si>
  <si>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</si>
  <si>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</si>
  <si>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</si>
  <si>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</si>
  <si>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</si>
  <si>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</si>
  <si>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</si>
  <si>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</si>
  <si>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</si>
  <si>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</si>
  <si>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</si>
  <si>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</si>
  <si>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</si>
  <si>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</si>
  <si>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</si>
  <si>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</si>
  <si>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</si>
  <si>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</si>
  <si>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</si>
  <si>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</si>
  <si>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</si>
  <si>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</si>
  <si>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</si>
  <si>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</si>
  <si>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</si>
  <si>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</si>
  <si>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</si>
  <si>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</si>
  <si>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</si>
  <si>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</si>
  <si>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</si>
  <si>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</si>
  <si>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</si>
  <si>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</si>
  <si>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</si>
  <si>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</si>
  <si>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</si>
  <si>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</si>
  <si>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</si>
  <si>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</si>
  <si>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</si>
  <si>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</si>
  <si>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</si>
  <si>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</si>
  <si>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</si>
  <si>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</si>
  <si>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</si>
  <si>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</si>
  <si>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</si>
  <si>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</si>
  <si>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</si>
  <si>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</si>
  <si>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</si>
  <si>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</si>
  <si>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</si>
  <si>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</si>
  <si>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</si>
  <si>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</si>
  <si>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</si>
  <si>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</si>
  <si>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</si>
  <si>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</si>
  <si>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</si>
  <si>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</si>
  <si>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</si>
  <si>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</si>
  <si>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</si>
  <si>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</si>
  <si>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</si>
  <si>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</si>
  <si>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</si>
  <si>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</si>
  <si>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</si>
  <si>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</si>
  <si>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</si>
  <si>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</si>
  <si>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</si>
  <si>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</si>
  <si>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</si>
  <si>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</si>
  <si>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</si>
  <si>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</si>
  <si>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</si>
  <si>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</si>
  <si>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</si>
  <si>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</si>
  <si>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</si>
  <si>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</si>
  <si>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</si>
  <si>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</si>
  <si>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</si>
  <si>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</si>
  <si>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</si>
  <si>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</si>
  <si>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</si>
  <si>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</si>
  <si>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</si>
  <si>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</si>
  <si>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</si>
  <si>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</si>
  <si>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</si>
  <si>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</si>
  <si>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</si>
  <si>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</si>
  <si>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</si>
  <si>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</si>
  <si>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</si>
  <si>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</si>
  <si>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</si>
  <si>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</si>
  <si>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</si>
  <si>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</si>
  <si>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</si>
  <si>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</si>
  <si>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</si>
  <si>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</si>
  <si>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</si>
  <si>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</si>
  <si>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</si>
  <si>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</si>
  <si>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</si>
  <si>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</si>
  <si>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</si>
  <si>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</si>
  <si>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</si>
  <si>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</si>
  <si>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</si>
  <si>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</si>
  <si>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</si>
  <si>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</si>
  <si>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</si>
  <si>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</si>
  <si>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</si>
  <si>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</si>
  <si>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</si>
  <si>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</si>
  <si>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</si>
  <si>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</si>
  <si>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</si>
  <si>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</si>
  <si>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</si>
  <si>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</si>
  <si>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</si>
  <si>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</si>
  <si>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</si>
  <si>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</si>
  <si>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</si>
  <si>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</si>
  <si>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</si>
  <si>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</si>
  <si>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</si>
  <si>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</si>
  <si>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</si>
  <si>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</si>
  <si>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</si>
  <si>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</si>
  <si>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</si>
  <si>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</si>
  <si>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</si>
  <si>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</si>
  <si>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</si>
  <si>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</si>
  <si>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</si>
  <si>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</si>
  <si>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</si>
  <si>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</si>
  <si>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</si>
  <si>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</si>
  <si>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</si>
  <si>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</si>
  <si>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</si>
  <si>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</si>
  <si>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</si>
  <si>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</si>
  <si>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</si>
  <si>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</si>
  <si>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</si>
  <si>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</si>
  <si>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</si>
  <si>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</si>
  <si>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</si>
  <si>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</si>
  <si>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</si>
  <si>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</si>
  <si>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</si>
  <si>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</si>
  <si>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</si>
  <si>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</si>
  <si>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</si>
  <si>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</si>
  <si>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</si>
  <si>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</si>
  <si>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</si>
  <si>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</si>
  <si>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</si>
  <si>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</si>
  <si>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</si>
  <si>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</si>
  <si>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</si>
  <si>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</si>
  <si>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</si>
  <si>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</si>
  <si>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</si>
  <si>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</si>
  <si>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</si>
  <si>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</si>
  <si>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</si>
  <si>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</si>
  <si>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</si>
  <si>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</si>
  <si>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</si>
  <si>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</si>
  <si>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</si>
  <si>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</si>
  <si>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</si>
  <si>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</si>
  <si>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</si>
  <si>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</si>
  <si>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</si>
  <si>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</si>
  <si>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</si>
  <si>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</si>
  <si>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</si>
  <si>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</si>
  <si>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</si>
  <si>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</si>
  <si>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</si>
  <si>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</si>
  <si>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</si>
  <si>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</si>
  <si>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</si>
  <si>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</si>
  <si>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</si>
  <si>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</si>
  <si>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</si>
  <si>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</si>
  <si>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</si>
  <si>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</si>
  <si>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</si>
  <si>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</si>
  <si>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</si>
  <si>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</si>
  <si>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</si>
  <si>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</si>
  <si>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</si>
  <si>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</si>
  <si>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</si>
  <si>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</si>
  <si>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</si>
  <si>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</si>
  <si>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</si>
  <si>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</si>
  <si>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</si>
  <si>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</si>
  <si>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</si>
  <si>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</si>
  <si>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</si>
  <si>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</si>
  <si>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</si>
  <si>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</si>
  <si>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</si>
  <si>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</si>
  <si>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</si>
  <si>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</si>
  <si>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</si>
  <si>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</si>
  <si>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</si>
  <si>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</si>
  <si>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</si>
  <si>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</si>
  <si>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</si>
  <si>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</si>
  <si>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</si>
  <si>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</si>
  <si>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</si>
  <si>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</si>
  <si>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</si>
  <si>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</si>
  <si>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</si>
  <si>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</si>
  <si>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</si>
  <si>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</si>
  <si>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</si>
  <si>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</si>
  <si>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</si>
  <si>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</si>
  <si>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</si>
  <si>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</si>
  <si>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</si>
  <si>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</si>
  <si>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</si>
  <si>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</si>
  <si>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</si>
  <si>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</si>
  <si>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</si>
  <si>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</si>
  <si>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</si>
  <si>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</si>
  <si>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</si>
  <si>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</si>
  <si>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</si>
  <si>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</si>
  <si>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</si>
  <si>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</si>
  <si>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</si>
  <si>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</si>
  <si>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</si>
  <si>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</si>
  <si>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</si>
  <si>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</si>
  <si>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</si>
  <si>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</si>
  <si>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</si>
  <si>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</si>
  <si>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</si>
  <si>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</si>
  <si>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</si>
  <si>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</si>
  <si>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</si>
  <si>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</si>
  <si>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</si>
  <si>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</si>
  <si>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</si>
  <si>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</si>
  <si>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</si>
  <si>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</si>
  <si>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</si>
  <si>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</si>
  <si>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</si>
  <si>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</si>
  <si>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</si>
  <si>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</si>
  <si>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</si>
  <si>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</si>
  <si>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</si>
  <si>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</si>
  <si>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</si>
  <si>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</si>
  <si>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</si>
  <si>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</si>
  <si>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</si>
  <si>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</si>
  <si>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</si>
  <si>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</si>
  <si>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</si>
  <si>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</si>
  <si>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</si>
  <si>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</si>
  <si>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</si>
  <si>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</si>
  <si>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</si>
  <si>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</si>
  <si>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</si>
  <si>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</si>
  <si>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</si>
  <si>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</si>
  <si>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</si>
  <si>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</si>
  <si>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</si>
  <si>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</si>
  <si>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</si>
  <si>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</si>
  <si>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</si>
  <si>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</si>
  <si>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</si>
  <si>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</si>
  <si>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</si>
  <si>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</si>
  <si>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</si>
  <si>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</si>
  <si>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</si>
  <si>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</si>
  <si>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</si>
  <si>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</si>
  <si>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</si>
  <si>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</si>
  <si>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</si>
  <si>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</si>
  <si>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</si>
  <si>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</si>
  <si>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</si>
  <si>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</si>
  <si>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</si>
  <si>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</si>
  <si>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</si>
  <si>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</si>
  <si>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</si>
  <si>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</si>
  <si>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</si>
  <si>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</si>
  <si>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</si>
  <si>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</si>
  <si>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</si>
  <si>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</si>
  <si>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</si>
  <si>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</si>
  <si>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</si>
  <si>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</si>
  <si>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</si>
  <si>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</si>
  <si>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</si>
  <si>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</si>
  <si>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</si>
  <si>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</si>
  <si>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</si>
  <si>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</si>
  <si>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</si>
  <si>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</si>
  <si>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</si>
  <si>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</si>
  <si>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</si>
  <si>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</si>
  <si>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</si>
  <si>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</si>
  <si>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</si>
  <si>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</si>
  <si>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</si>
  <si>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</si>
  <si>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</si>
  <si>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</si>
  <si>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</si>
  <si>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</si>
  <si>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</si>
  <si>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</si>
  <si>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</si>
  <si>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</si>
  <si>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</si>
  <si>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</si>
  <si>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</si>
  <si>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</si>
  <si>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</si>
  <si>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</si>
  <si>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</si>
  <si>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</si>
  <si>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</si>
  <si>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</si>
  <si>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</si>
  <si>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</si>
  <si>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</si>
  <si>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</si>
  <si>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</si>
  <si>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</si>
  <si>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</si>
  <si>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</si>
  <si>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</si>
  <si>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</si>
  <si>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</si>
  <si>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</si>
  <si>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</si>
  <si>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</si>
  <si>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</si>
  <si>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</si>
  <si>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</si>
  <si>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</si>
  <si>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</si>
  <si>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</si>
  <si>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</si>
  <si>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</si>
  <si>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</si>
  <si>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</si>
  <si>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</si>
  <si>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</si>
  <si>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</si>
  <si>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</si>
  <si>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</si>
  <si>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</si>
  <si>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</si>
  <si>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</si>
  <si>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</si>
  <si>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</si>
  <si>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</si>
  <si>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</si>
  <si>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</si>
  <si>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</si>
  <si>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</si>
  <si>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</si>
  <si>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</si>
  <si>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</si>
  <si>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</si>
  <si>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</si>
  <si>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</si>
  <si>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</si>
  <si>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</si>
  <si>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</si>
  <si>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</si>
  <si>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</si>
  <si>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</si>
  <si>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</si>
  <si>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</si>
  <si>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</si>
  <si>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</si>
  <si>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</si>
  <si>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</si>
  <si>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</si>
  <si>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</si>
  <si>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</si>
  <si>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</si>
  <si>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</si>
  <si>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</si>
  <si>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</si>
  <si>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</si>
  <si>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</si>
  <si>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</si>
  <si>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</si>
  <si>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</si>
  <si>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</si>
  <si>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</si>
  <si>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</si>
  <si>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</si>
  <si>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</si>
  <si>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</si>
  <si>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</si>
  <si>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</si>
  <si>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</si>
  <si>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</si>
  <si>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</si>
  <si>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</si>
  <si>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</si>
  <si>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</si>
  <si>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</si>
  <si>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</si>
  <si>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</si>
  <si>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</si>
  <si>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</si>
  <si>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</si>
  <si>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</si>
  <si>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</si>
  <si>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</si>
  <si>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</si>
  <si>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</si>
  <si>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</si>
  <si>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</si>
  <si>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</si>
  <si>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</si>
  <si>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</si>
  <si>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</si>
  <si>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</si>
  <si>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</si>
  <si>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</si>
  <si>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</si>
  <si>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</si>
  <si>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</si>
  <si>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</si>
  <si>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</si>
  <si>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</si>
  <si>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</si>
  <si>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</si>
  <si>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</si>
  <si>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</si>
  <si>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</si>
  <si>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</si>
  <si>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</si>
  <si>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</si>
  <si>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</si>
  <si>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</si>
  <si>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</si>
  <si>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</si>
  <si>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</si>
  <si>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</si>
  <si>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</si>
  <si>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</si>
  <si>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</si>
  <si>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</si>
  <si>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</si>
  <si>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</si>
  <si>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</si>
  <si>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</si>
  <si>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</si>
  <si>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</si>
  <si>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</si>
  <si>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</si>
  <si>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</si>
  <si>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</si>
  <si>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</si>
  <si>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</si>
  <si>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</si>
  <si>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</si>
  <si>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</si>
  <si>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</si>
  <si>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</si>
  <si>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</si>
  <si>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</si>
  <si>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</si>
  <si>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</si>
  <si>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</si>
  <si>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</si>
  <si>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</si>
  <si>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</si>
  <si>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</si>
  <si>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</si>
  <si>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</si>
  <si>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</si>
  <si>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</si>
  <si>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</si>
  <si>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</si>
  <si>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</si>
  <si>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</si>
  <si>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</si>
  <si>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</si>
  <si>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</si>
  <si>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</si>
  <si>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</si>
  <si>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</si>
  <si>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</si>
  <si>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</si>
  <si>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</si>
  <si>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</si>
  <si>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</si>
  <si>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</si>
  <si>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</si>
  <si>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</si>
  <si>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</si>
  <si>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</si>
  <si>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</si>
  <si>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</si>
  <si>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</si>
  <si>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</si>
  <si>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</si>
  <si>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</si>
  <si>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</si>
  <si>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</si>
  <si>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</si>
  <si>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</si>
  <si>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</si>
  <si>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</si>
  <si>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</si>
  <si>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</si>
  <si>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</si>
  <si>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</si>
  <si>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</si>
  <si>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</si>
  <si>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</si>
  <si>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</si>
  <si>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</si>
  <si>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</si>
  <si>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</si>
  <si>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</si>
  <si>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</si>
  <si>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</si>
  <si>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</si>
  <si>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</si>
  <si>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</si>
  <si>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</si>
  <si>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</si>
  <si>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</si>
  <si>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</si>
  <si>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</si>
  <si>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</si>
  <si>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</si>
  <si>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</si>
  <si>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</si>
  <si>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</si>
  <si>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</si>
  <si>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</si>
  <si>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</si>
  <si>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</si>
  <si>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</si>
  <si>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</si>
  <si>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</si>
  <si>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</si>
  <si>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</si>
  <si>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</si>
  <si>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</si>
  <si>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</si>
  <si>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</si>
  <si>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</si>
  <si>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</si>
  <si>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</si>
  <si>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</si>
  <si>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</si>
  <si>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</si>
  <si>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</si>
  <si>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</si>
  <si>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</si>
  <si>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</si>
  <si>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</si>
  <si>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</si>
  <si>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</si>
  <si>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</si>
  <si>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</si>
  <si>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</si>
  <si>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</si>
  <si>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</si>
  <si>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</si>
  <si>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</si>
  <si>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</si>
  <si>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</si>
  <si>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</si>
  <si>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</si>
  <si>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</si>
  <si>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</si>
  <si>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</si>
  <si>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</si>
  <si>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</si>
  <si>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</si>
  <si>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</si>
  <si>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</si>
  <si>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</si>
  <si>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</si>
  <si>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</si>
  <si>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</si>
  <si>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</si>
  <si>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</si>
  <si>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</si>
  <si>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</si>
  <si>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</si>
  <si>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</si>
  <si>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</si>
  <si>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</si>
  <si>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</si>
  <si>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</si>
  <si>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</si>
  <si>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</si>
  <si>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</si>
  <si>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</si>
  <si>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</si>
  <si>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</si>
  <si>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</si>
  <si>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</si>
  <si>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</si>
  <si>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</si>
  <si>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</si>
  <si>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</si>
  <si>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</si>
  <si>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</si>
  <si>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</si>
  <si>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</si>
  <si>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</si>
  <si>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</si>
  <si>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</si>
  <si>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</si>
  <si>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</si>
  <si>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</si>
  <si>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</si>
  <si>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</si>
  <si>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</si>
  <si>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</si>
  <si>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</si>
  <si>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</si>
  <si>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</si>
  <si>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</si>
  <si>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</si>
  <si>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</si>
  <si>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</si>
  <si>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</si>
  <si>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</si>
  <si>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</si>
  <si>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</si>
  <si>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</si>
  <si>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</si>
  <si>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</si>
  <si>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</si>
  <si>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</si>
  <si>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</si>
  <si>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</si>
  <si>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</si>
  <si>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</si>
  <si>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</si>
  <si>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</si>
  <si>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</si>
  <si>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</si>
  <si>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</si>
  <si>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</si>
  <si>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</si>
  <si>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</si>
  <si>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</si>
  <si>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</si>
  <si>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</si>
  <si>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</si>
  <si>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</si>
  <si>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</si>
  <si>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</si>
  <si>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</si>
  <si>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</si>
  <si>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</si>
  <si>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</si>
  <si>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</si>
  <si>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</si>
  <si>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</si>
  <si>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</si>
  <si>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</si>
  <si>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</si>
  <si>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</si>
  <si>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</si>
  <si>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</si>
  <si>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</si>
  <si>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</si>
  <si>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</si>
  <si>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</si>
  <si>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</si>
  <si>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</si>
  <si>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</si>
  <si>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</si>
  <si>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</si>
  <si>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</si>
  <si>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</si>
  <si>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</si>
  <si>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</si>
  <si>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</si>
  <si>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</si>
  <si>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</si>
  <si>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</si>
  <si>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</si>
  <si>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</si>
  <si>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</si>
  <si>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</si>
  <si>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</si>
  <si>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</si>
  <si>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</si>
  <si>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</si>
  <si>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</si>
  <si>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</si>
  <si>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</si>
  <si>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</si>
  <si>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</si>
  <si>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</si>
  <si>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</si>
  <si>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</si>
  <si>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</si>
  <si>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</si>
  <si>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</si>
  <si>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</si>
  <si>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</si>
  <si>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</si>
  <si>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</si>
  <si>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</si>
  <si>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</si>
  <si>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</si>
  <si>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</si>
  <si>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</si>
  <si>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</si>
  <si>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</si>
  <si>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</si>
  <si>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</si>
  <si>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</si>
  <si>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</si>
  <si>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</si>
  <si>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</si>
  <si>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</si>
  <si>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</si>
  <si>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</si>
  <si>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</si>
  <si>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</si>
  <si>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</si>
  <si>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</si>
  <si>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</si>
  <si>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</si>
  <si>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</si>
  <si>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</si>
  <si>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</si>
  <si>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</si>
  <si>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</si>
  <si>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</si>
  <si>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</si>
  <si>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</si>
  <si>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</si>
  <si>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</si>
  <si>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</si>
  <si>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</si>
  <si>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</si>
  <si>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</si>
  <si>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</si>
  <si>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</si>
  <si>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</si>
  <si>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</si>
  <si>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</si>
  <si>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</si>
  <si>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</si>
  <si>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</si>
  <si>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</si>
  <si>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</si>
  <si>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</si>
  <si>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</si>
  <si>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</si>
  <si>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</si>
  <si>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</si>
  <si>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</si>
  <si>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</si>
  <si>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</si>
  <si>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</si>
  <si>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</si>
  <si>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</si>
  <si>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</si>
  <si>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</si>
  <si>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</si>
  <si>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</si>
  <si>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</si>
  <si>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</si>
  <si>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</si>
  <si>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</si>
  <si>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</si>
  <si>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</si>
  <si>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</si>
  <si>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</si>
  <si>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</si>
  <si>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</si>
  <si>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</si>
  <si>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</si>
  <si>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</si>
  <si>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</si>
  <si>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</si>
  <si>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</si>
  <si>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</si>
  <si>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</si>
  <si>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</si>
  <si>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</si>
  <si>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</si>
  <si>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</si>
  <si>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</si>
  <si>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</si>
  <si>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</si>
  <si>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</si>
  <si>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</si>
  <si>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</si>
  <si>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</si>
  <si>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</si>
  <si>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</si>
  <si>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</si>
  <si>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</si>
  <si>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</si>
  <si>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</si>
  <si>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</si>
  <si>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</si>
  <si>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</si>
  <si>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</si>
  <si>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</si>
  <si>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</si>
  <si>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</si>
  <si>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</si>
  <si>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</si>
  <si>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</si>
  <si>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</si>
  <si>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</si>
  <si>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</si>
  <si>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</si>
  <si>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</si>
  <si>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</si>
  <si>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</si>
  <si>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</si>
  <si>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</si>
  <si>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</si>
  <si>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</si>
  <si>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</si>
  <si>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</si>
  <si>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</si>
  <si>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</si>
  <si>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</si>
  <si>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</si>
  <si>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</si>
  <si>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</si>
  <si>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</si>
  <si>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</si>
  <si>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</si>
  <si>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</si>
  <si>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</si>
  <si>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</si>
  <si>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</si>
  <si>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</si>
  <si>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</si>
  <si>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</si>
  <si>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</si>
  <si>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</si>
  <si>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</si>
  <si>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</si>
  <si>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</si>
  <si>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</si>
  <si>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</si>
  <si>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</si>
  <si>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</si>
  <si>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</si>
  <si>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</si>
  <si>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</si>
  <si>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</si>
  <si>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</si>
  <si>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</si>
  <si>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</si>
  <si>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</si>
  <si>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</si>
  <si>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</si>
  <si>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</si>
  <si>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</si>
  <si>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</si>
  <si>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</si>
  <si>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</si>
  <si>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</si>
  <si>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</si>
  <si>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</si>
  <si>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</si>
  <si>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</si>
  <si>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</si>
  <si>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</si>
  <si>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</si>
  <si>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</si>
  <si>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</si>
  <si>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</si>
  <si>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</si>
  <si>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</si>
  <si>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</si>
  <si>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</si>
  <si>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</si>
  <si>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</si>
  <si>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</si>
  <si>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</si>
  <si>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</si>
  <si>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</si>
  <si>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</si>
  <si>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</si>
  <si>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</si>
  <si>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</si>
  <si>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</si>
  <si>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</si>
  <si>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</si>
  <si>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</si>
  <si>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</si>
  <si>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</si>
  <si>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</si>
  <si>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</si>
  <si>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</si>
  <si>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</si>
  <si>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</si>
  <si>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</si>
  <si>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</si>
  <si>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</si>
  <si>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</si>
  <si>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</si>
  <si>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</si>
  <si>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</si>
  <si>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</si>
  <si>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</si>
  <si>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</si>
  <si>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</si>
  <si>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</si>
  <si>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</si>
  <si>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</si>
  <si>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</si>
  <si>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</si>
  <si>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</si>
  <si>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</si>
  <si>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</si>
  <si>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</si>
  <si>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</si>
  <si>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</si>
  <si>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</si>
  <si>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</si>
  <si>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</si>
  <si>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</si>
  <si>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</si>
  <si>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</si>
  <si>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</si>
  <si>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</si>
  <si>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</si>
  <si>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</si>
  <si>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</si>
  <si>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</si>
  <si>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</si>
  <si>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</si>
  <si>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</si>
  <si>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</si>
  <si>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</si>
  <si>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</si>
  <si>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</si>
  <si>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</si>
  <si>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</si>
  <si>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</si>
  <si>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</si>
  <si>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</si>
  <si>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</si>
  <si>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</si>
  <si>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</si>
  <si>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</si>
  <si>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</si>
  <si>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</si>
  <si>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</si>
  <si>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</si>
  <si>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</si>
  <si>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</si>
  <si>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</si>
  <si>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</si>
  <si>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</si>
  <si>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</si>
  <si>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</si>
  <si>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</si>
  <si>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</si>
  <si>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</si>
  <si>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</si>
  <si>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</si>
  <si>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</si>
  <si>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</si>
  <si>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</si>
  <si>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</si>
  <si>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</si>
  <si>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</si>
  <si>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</si>
  <si>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</si>
  <si>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</si>
  <si>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</si>
  <si>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</si>
  <si>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</si>
  <si>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</si>
  <si>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</si>
  <si>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</si>
  <si>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</si>
  <si>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</si>
  <si>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</si>
  <si>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</si>
  <si>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</si>
  <si>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</si>
  <si>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</si>
  <si>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</si>
  <si>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</si>
  <si>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</si>
  <si>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</si>
  <si>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</si>
  <si>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</si>
  <si>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</si>
  <si>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</si>
  <si>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</si>
  <si>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</si>
  <si>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</si>
  <si>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</si>
  <si>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</si>
  <si>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</si>
  <si>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</si>
  <si>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</si>
  <si>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</si>
  <si>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</si>
  <si>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</si>
  <si>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</si>
  <si>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</si>
  <si>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</si>
  <si>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</si>
  <si>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</si>
  <si>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</si>
  <si>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</si>
  <si>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</si>
  <si>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</si>
  <si>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</si>
  <si>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</si>
  <si>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</si>
  <si>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</si>
  <si>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</si>
  <si>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</si>
  <si>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</si>
  <si>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</si>
  <si>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</si>
  <si>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</si>
  <si>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</si>
  <si>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</si>
  <si>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</si>
  <si>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</si>
  <si>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</si>
  <si>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</si>
  <si>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</si>
  <si>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</si>
  <si>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</si>
  <si>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</si>
  <si>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</si>
  <si>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</si>
  <si>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</si>
  <si>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</si>
  <si>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</si>
  <si>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</si>
  <si>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</si>
  <si>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</si>
  <si>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</si>
  <si>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</si>
  <si>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</si>
  <si>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</si>
  <si>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</si>
  <si>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</si>
  <si>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</si>
  <si>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</si>
  <si>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</si>
  <si>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</si>
  <si>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</si>
  <si>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</si>
  <si>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</si>
  <si>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</si>
  <si>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</si>
  <si>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</si>
  <si>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</si>
  <si>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</si>
  <si>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</si>
  <si>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</si>
  <si>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</si>
  <si>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</si>
  <si>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</si>
  <si>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</si>
  <si>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</si>
  <si>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</si>
  <si>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</si>
  <si>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</si>
  <si>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</si>
  <si>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</si>
  <si>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</si>
  <si>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</si>
  <si>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</si>
  <si>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</si>
  <si>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</si>
  <si>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</si>
  <si>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</si>
  <si>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</si>
  <si>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</si>
  <si>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</si>
  <si>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</si>
  <si>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</si>
  <si>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</si>
  <si>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</si>
  <si>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</si>
  <si>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</si>
  <si>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</si>
  <si>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</si>
  <si>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</si>
  <si>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</si>
  <si>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</si>
  <si>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</si>
  <si>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</si>
  <si>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</si>
  <si>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</si>
  <si>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</si>
  <si>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</si>
  <si>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</si>
  <si>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</si>
  <si>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</si>
  <si>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</si>
  <si>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</si>
  <si>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</si>
  <si>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</si>
  <si>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</si>
  <si>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</si>
  <si>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</si>
  <si>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</si>
  <si>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</si>
  <si>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</si>
  <si>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</si>
  <si>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</si>
  <si>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</si>
  <si>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</si>
  <si>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</si>
  <si>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</si>
  <si>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</si>
  <si>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</si>
  <si>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</si>
  <si>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</si>
  <si>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</si>
  <si>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</si>
  <si>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</si>
  <si>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</si>
  <si>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</si>
  <si>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</si>
  <si>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</si>
  <si>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</si>
  <si>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</si>
  <si>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</si>
  <si>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</si>
  <si>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</si>
  <si>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</si>
  <si>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</si>
  <si>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</si>
  <si>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</si>
  <si>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</si>
  <si>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</si>
  <si>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</si>
  <si>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</si>
  <si>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</si>
  <si>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</si>
  <si>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</si>
  <si>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</si>
  <si>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</si>
  <si>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</si>
  <si>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</si>
  <si>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</si>
  <si>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</si>
  <si>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</si>
  <si>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</si>
  <si>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</si>
  <si>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</si>
  <si>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</si>
  <si>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</si>
  <si>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</si>
  <si>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</si>
  <si>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</si>
  <si>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</si>
  <si>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</si>
  <si>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</si>
  <si>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</si>
  <si>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</si>
  <si>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</si>
  <si>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</si>
  <si>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</si>
  <si>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</si>
  <si>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</si>
  <si>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</si>
  <si>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</si>
  <si>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</si>
  <si>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</si>
  <si>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</si>
  <si>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</si>
  <si>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</si>
  <si>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</si>
  <si>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</si>
  <si>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</si>
  <si>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</si>
  <si>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</si>
  <si>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</si>
  <si>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</si>
  <si>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</si>
  <si>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</si>
  <si>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</si>
  <si>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</si>
  <si>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</si>
  <si>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</si>
  <si>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</si>
  <si>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</si>
  <si>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</si>
  <si>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</si>
  <si>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</si>
  <si>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</si>
  <si>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</si>
  <si>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</si>
  <si>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</si>
  <si>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</si>
  <si>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</si>
  <si>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</si>
  <si>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</si>
  <si>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</si>
  <si>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</si>
  <si>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</si>
  <si>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</si>
  <si>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</si>
  <si>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</si>
  <si>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</si>
  <si>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</si>
  <si>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</si>
  <si>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</si>
  <si>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</si>
  <si>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</si>
  <si>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</si>
  <si>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</si>
  <si>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</si>
  <si>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</si>
  <si>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</si>
  <si>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</si>
  <si>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</si>
  <si>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</si>
  <si>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</si>
  <si>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</si>
  <si>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</si>
  <si>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</si>
  <si>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</si>
  <si>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</si>
  <si>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</si>
  <si>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</si>
  <si>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</si>
  <si>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</si>
  <si>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</si>
  <si>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</si>
  <si>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</si>
  <si>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</si>
  <si>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</si>
  <si>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</si>
  <si>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</si>
  <si>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</si>
  <si>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</si>
  <si>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</si>
  <si>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</si>
  <si>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</si>
  <si>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</si>
  <si>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</si>
  <si>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</si>
  <si>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</si>
  <si>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</si>
  <si>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</si>
  <si>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</si>
  <si>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</si>
  <si>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</si>
  <si>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</si>
  <si>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</si>
  <si>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</si>
  <si>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</si>
  <si>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</si>
  <si>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</si>
  <si>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</si>
  <si>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</si>
  <si>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</si>
  <si>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</si>
  <si>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</si>
  <si>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</si>
  <si>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</si>
  <si>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</si>
  <si>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</si>
  <si>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</si>
  <si>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</si>
  <si>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</si>
  <si>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</si>
  <si>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</si>
  <si>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</si>
  <si>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</si>
  <si>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</si>
  <si>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</si>
  <si>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</si>
  <si>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</si>
  <si>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</si>
  <si>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</si>
  <si>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</si>
  <si>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</si>
  <si>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</si>
  <si>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</si>
  <si>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</si>
  <si>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</si>
  <si>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</si>
  <si>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</si>
  <si>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</si>
  <si>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</si>
  <si>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</si>
  <si>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</si>
  <si>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</si>
  <si>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</si>
  <si>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</si>
  <si>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</si>
  <si>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</si>
  <si>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</si>
  <si>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</si>
  <si>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</si>
  <si>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</si>
  <si>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</si>
  <si>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</si>
  <si>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</si>
  <si>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</si>
  <si>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</si>
  <si>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</si>
  <si>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</si>
  <si>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</si>
  <si>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</si>
  <si>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</si>
  <si>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</si>
  <si>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</si>
  <si>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</si>
  <si>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</si>
  <si>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</si>
  <si>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</si>
  <si>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</si>
  <si>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</si>
  <si>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</si>
  <si>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</si>
  <si>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</si>
  <si>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</si>
  <si>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</si>
  <si>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</si>
  <si>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</si>
  <si>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</si>
  <si>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</si>
  <si>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</si>
  <si>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</si>
  <si>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</si>
  <si>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</si>
  <si>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</si>
  <si>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</si>
  <si>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</si>
  <si>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</si>
  <si>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</si>
  <si>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</si>
  <si>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</si>
  <si>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</si>
  <si>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</si>
  <si>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</si>
  <si>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</si>
  <si>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</si>
  <si>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</si>
  <si>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</si>
  <si>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</si>
  <si>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</si>
  <si>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</si>
  <si>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</si>
  <si>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</si>
  <si>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</si>
  <si>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</si>
  <si>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</si>
  <si>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</si>
  <si>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</si>
  <si>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</si>
  <si>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</si>
  <si>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</si>
  <si>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</si>
  <si>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</si>
  <si>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</si>
  <si>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</si>
  <si>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</si>
  <si>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</si>
  <si>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</si>
  <si>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</si>
  <si>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</si>
  <si>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</si>
  <si>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</si>
  <si>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</si>
  <si>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</si>
  <si>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</si>
  <si>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</si>
  <si>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</si>
  <si>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</si>
  <si>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</si>
  <si>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</si>
  <si>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</si>
  <si>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</si>
  <si>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</si>
  <si>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</si>
  <si>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</si>
  <si>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</si>
  <si>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</si>
  <si>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</si>
  <si>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</si>
  <si>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</si>
  <si>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</si>
  <si>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</si>
  <si>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</si>
  <si>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</si>
  <si>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</si>
  <si>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</si>
  <si>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</si>
  <si>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</si>
  <si>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</si>
  <si>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</si>
  <si>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</si>
  <si>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</si>
  <si>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</si>
  <si>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</si>
  <si>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</si>
  <si>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</si>
  <si>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</si>
  <si>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</si>
  <si>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</si>
  <si>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</si>
  <si>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</si>
  <si>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</si>
  <si>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</si>
  <si>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</si>
  <si>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</si>
  <si>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</si>
  <si>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</si>
  <si>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</si>
  <si>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</si>
  <si>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</si>
  <si>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</si>
  <si>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</si>
  <si>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</si>
  <si>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</si>
  <si>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</si>
  <si>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</si>
  <si>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</si>
  <si>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</si>
  <si>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</si>
  <si>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</si>
  <si>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</si>
  <si>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</si>
  <si>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</si>
  <si>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</si>
  <si>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</si>
  <si>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</si>
  <si>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</si>
  <si>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</si>
  <si>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</si>
  <si>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</si>
  <si>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</si>
  <si>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</si>
  <si>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</si>
  <si>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</si>
  <si>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</si>
  <si>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</si>
  <si>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</si>
  <si>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</si>
  <si>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</si>
  <si>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</si>
  <si>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</si>
  <si>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</si>
  <si>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</si>
  <si>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</si>
  <si>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</si>
  <si>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</si>
  <si>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</si>
  <si>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</si>
  <si>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</si>
  <si>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</si>
  <si>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</si>
  <si>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</si>
  <si>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</si>
  <si>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</si>
  <si>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</si>
  <si>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</si>
  <si>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</si>
  <si>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</si>
  <si>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</si>
  <si>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</si>
  <si>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</si>
  <si>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</si>
  <si>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</si>
  <si>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</si>
  <si>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</si>
  <si>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</si>
  <si>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</si>
  <si>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</si>
  <si>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</si>
  <si>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</si>
  <si>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</si>
  <si>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</si>
  <si>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</si>
  <si>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</si>
  <si>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</si>
  <si>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</si>
  <si>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</si>
  <si>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</si>
  <si>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</si>
  <si>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</si>
  <si>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</si>
  <si>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</si>
  <si>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</si>
  <si>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</si>
  <si>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</si>
  <si>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</si>
  <si>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</si>
  <si>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</si>
  <si>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</si>
  <si>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</si>
  <si>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</si>
  <si>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</si>
  <si>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</si>
  <si>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</si>
  <si>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</si>
  <si>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</si>
  <si>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</si>
  <si>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</si>
  <si>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</si>
  <si>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</si>
  <si>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</si>
  <si>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</si>
  <si>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</si>
  <si>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</si>
  <si>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</si>
  <si>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</si>
  <si>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</si>
  <si>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</si>
  <si>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</si>
  <si>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</si>
  <si>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</si>
  <si>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</si>
  <si>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</si>
  <si>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</si>
  <si>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</si>
  <si>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</si>
  <si>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</si>
  <si>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</si>
  <si>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</si>
  <si>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</si>
  <si>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</si>
  <si>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</si>
  <si>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</si>
  <si>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</si>
  <si>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</si>
  <si>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</si>
  <si>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</si>
  <si>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</si>
  <si>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</si>
  <si>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</si>
  <si>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</si>
  <si>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</si>
  <si>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</si>
  <si>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</si>
  <si>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</si>
  <si>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</si>
  <si>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</si>
  <si>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</si>
  <si>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</si>
  <si>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</si>
  <si>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</si>
  <si>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</si>
  <si>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</si>
  <si>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</si>
  <si>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</si>
  <si>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</si>
  <si>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</si>
  <si>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</si>
  <si>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</si>
  <si>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</si>
  <si>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</si>
  <si>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</si>
  <si>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</si>
  <si>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</si>
  <si>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</si>
  <si>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</si>
  <si>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</si>
  <si>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</si>
  <si>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</si>
  <si>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</si>
  <si>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</si>
  <si>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</si>
  <si>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</si>
  <si>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</si>
  <si>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</si>
  <si>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</si>
  <si>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</si>
  <si>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</si>
  <si>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</si>
  <si>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</si>
  <si>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</si>
  <si>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</si>
  <si>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</si>
  <si>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</si>
  <si>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</si>
  <si>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</si>
  <si>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</si>
  <si>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</si>
  <si>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</si>
  <si>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</si>
  <si>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</si>
  <si>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</si>
  <si>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</si>
  <si>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</si>
  <si>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</si>
  <si>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</si>
  <si>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</si>
  <si>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</si>
  <si>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</si>
  <si>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</si>
  <si>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</si>
  <si>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</si>
  <si>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</si>
  <si>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</si>
  <si>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</si>
  <si>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</si>
  <si>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</si>
  <si>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</si>
  <si>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</si>
  <si>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</si>
  <si>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</si>
  <si>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</si>
  <si>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</si>
  <si>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</si>
  <si>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</si>
  <si>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</si>
  <si>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</si>
  <si>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</si>
  <si>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</si>
  <si>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</si>
  <si>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</si>
  <si>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</si>
  <si>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</si>
  <si>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</si>
  <si>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</si>
  <si>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</si>
  <si>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</si>
  <si>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</si>
  <si>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</si>
  <si>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</si>
  <si>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</si>
  <si>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</si>
  <si>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</si>
  <si>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</si>
  <si>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</si>
  <si>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</si>
  <si>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</si>
  <si>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</si>
  <si>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</si>
  <si>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</si>
  <si>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</si>
  <si>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</si>
  <si>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</si>
  <si>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</si>
  <si>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</si>
  <si>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</si>
  <si>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</si>
  <si>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</si>
  <si>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</si>
  <si>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</si>
  <si>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</si>
  <si>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</si>
  <si>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</si>
  <si>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</si>
  <si>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</si>
  <si>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</si>
  <si>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</si>
  <si>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</si>
  <si>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</si>
  <si>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</si>
  <si>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</si>
  <si>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</si>
  <si>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</si>
  <si>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</si>
  <si>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</si>
  <si>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</si>
  <si>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</si>
  <si>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</si>
  <si>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</si>
  <si>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</si>
  <si>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</si>
  <si>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</si>
  <si>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</si>
  <si>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</si>
  <si>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</si>
  <si>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</si>
  <si>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</si>
  <si>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</si>
  <si>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</si>
  <si>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</si>
  <si>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</si>
  <si>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</si>
  <si>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</si>
  <si>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</si>
  <si>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</si>
  <si>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</si>
  <si>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</si>
  <si>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</si>
  <si>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</si>
  <si>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</si>
  <si>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</si>
  <si>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</si>
  <si>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</si>
  <si>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</si>
  <si>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</si>
  <si>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</si>
  <si>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</si>
  <si>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</si>
  <si>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</si>
  <si>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</si>
  <si>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</si>
  <si>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</si>
  <si>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</si>
  <si>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</si>
  <si>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</si>
  <si>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</si>
  <si>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</si>
  <si>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</si>
  <si>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</si>
  <si>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</si>
  <si>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</si>
  <si>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</si>
  <si>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</si>
  <si>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</si>
  <si>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</si>
  <si>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</si>
  <si>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</si>
  <si>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</si>
  <si>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</si>
  <si>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</si>
  <si>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</si>
  <si>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</si>
  <si>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</si>
  <si>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</si>
  <si>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</si>
  <si>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</si>
  <si>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</si>
  <si>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</si>
  <si>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</si>
  <si>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</si>
  <si>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</si>
  <si>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</si>
  <si>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</si>
  <si>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</si>
  <si>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</si>
  <si>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</si>
  <si>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</si>
  <si>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</si>
  <si>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</si>
  <si>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</si>
  <si>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</si>
  <si>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</si>
  <si>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</si>
  <si>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</si>
  <si>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</si>
  <si>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</si>
  <si>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</si>
  <si>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</si>
  <si>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</si>
  <si>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</si>
  <si>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</si>
  <si>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</si>
  <si>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</si>
  <si>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</si>
  <si>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</si>
  <si>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</si>
  <si>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</si>
  <si>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</si>
  <si>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</si>
  <si>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</si>
  <si>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</si>
  <si>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</si>
  <si>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</si>
  <si>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</si>
  <si>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</si>
  <si>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</si>
  <si>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</si>
  <si>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</si>
  <si>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</si>
  <si>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</si>
  <si>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</si>
  <si>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</si>
  <si>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</si>
  <si>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</si>
  <si>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</si>
  <si>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</si>
  <si>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</si>
  <si>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</si>
  <si>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</si>
  <si>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</si>
  <si>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</si>
  <si>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</si>
  <si>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</si>
  <si>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</si>
  <si>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</si>
  <si>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</si>
  <si>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</si>
  <si>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</si>
  <si>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</si>
  <si>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</si>
  <si>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</si>
  <si>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</si>
  <si>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</si>
  <si>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</si>
  <si>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</si>
  <si>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</si>
  <si>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</si>
  <si>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</si>
  <si>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</si>
  <si>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</si>
  <si>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</si>
  <si>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</si>
  <si>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</si>
  <si>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</si>
  <si>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</si>
  <si>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</si>
  <si>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</si>
  <si>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</si>
  <si>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</si>
  <si>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</si>
  <si>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</si>
  <si>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</si>
  <si>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</si>
  <si>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</si>
  <si>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</si>
  <si>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</si>
  <si>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</si>
  <si>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</si>
  <si>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</si>
  <si>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</si>
  <si>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</si>
  <si>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</si>
  <si>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</si>
  <si>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</si>
  <si>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</si>
  <si>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</si>
  <si>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</si>
  <si>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</si>
  <si>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</si>
  <si>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</si>
  <si>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</si>
  <si>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</si>
  <si>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</si>
  <si>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</si>
  <si>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</si>
  <si>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</si>
  <si>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</si>
  <si>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</si>
  <si>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</si>
  <si>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</si>
  <si>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</si>
  <si>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</si>
  <si>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</si>
  <si>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</si>
  <si>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</si>
  <si>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</si>
  <si>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</si>
  <si>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</si>
  <si>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</si>
  <si>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</si>
  <si>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</si>
  <si>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</si>
  <si>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</si>
  <si>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</si>
  <si>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</si>
  <si>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</si>
  <si>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</si>
  <si>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</si>
  <si>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</si>
  <si>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</si>
  <si>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</si>
  <si>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</si>
  <si>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</si>
  <si>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</si>
  <si>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</si>
  <si>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</si>
  <si>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</si>
  <si>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</si>
  <si>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</si>
  <si>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</si>
  <si>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</si>
  <si>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</si>
  <si>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</si>
  <si>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</si>
  <si>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</si>
  <si>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</si>
  <si>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</si>
  <si>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</si>
  <si>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</si>
  <si>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</si>
  <si>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</si>
  <si>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</si>
  <si>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</si>
  <si>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</si>
  <si>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</si>
  <si>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</si>
  <si>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</si>
  <si>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</si>
  <si>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</si>
  <si>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</si>
  <si>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</si>
  <si>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</si>
  <si>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</si>
  <si>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</si>
  <si>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</si>
  <si>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</si>
  <si>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</si>
  <si>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</si>
  <si>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</si>
  <si>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</si>
  <si>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</si>
  <si>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</si>
  <si>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</si>
  <si>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</si>
  <si>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</si>
  <si>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</si>
  <si>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</si>
  <si>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</si>
  <si>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</si>
  <si>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</si>
  <si>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</si>
  <si>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</si>
  <si>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</si>
  <si>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</si>
  <si>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</si>
  <si>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</si>
  <si>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</si>
  <si>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</si>
  <si>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</si>
  <si>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</si>
  <si>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</si>
  <si>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</si>
  <si>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</si>
  <si>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</si>
  <si>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</si>
  <si>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</si>
  <si>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</si>
  <si>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</si>
  <si>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</si>
  <si>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</si>
  <si>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</si>
  <si>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</si>
  <si>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</si>
  <si>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</si>
  <si>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</si>
  <si>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</si>
  <si>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</si>
  <si>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</si>
  <si>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</si>
  <si>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</si>
  <si>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</si>
  <si>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</si>
  <si>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</si>
  <si>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</si>
  <si>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</si>
  <si>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</si>
  <si>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</si>
  <si>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</si>
  <si>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</si>
  <si>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</si>
  <si>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</si>
  <si>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</si>
  <si>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</si>
  <si>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</si>
  <si>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</si>
  <si>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</si>
  <si>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</si>
  <si>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</si>
  <si>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</si>
  <si>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</si>
  <si>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</si>
  <si>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</si>
  <si>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</si>
  <si>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</si>
  <si>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</si>
  <si>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</si>
  <si>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</si>
  <si>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</si>
  <si>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</si>
  <si>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</si>
  <si>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</si>
  <si>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</si>
  <si>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</si>
  <si>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</si>
  <si>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</si>
  <si>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</si>
  <si>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</si>
  <si>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</si>
  <si>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</si>
  <si>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</si>
  <si>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</si>
  <si>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</si>
  <si>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</si>
  <si>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</si>
  <si>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</si>
  <si>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</si>
  <si>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</si>
  <si>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</si>
  <si>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</si>
  <si>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</si>
  <si>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</si>
  <si>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</si>
  <si>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</si>
  <si>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</si>
  <si>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</si>
  <si>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</si>
  <si>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</si>
  <si>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</si>
  <si>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</si>
  <si>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</si>
  <si>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</si>
  <si>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</si>
  <si>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</si>
  <si>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</si>
  <si>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</si>
  <si>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</si>
  <si>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</si>
  <si>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</si>
  <si>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</si>
  <si>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</si>
  <si>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</si>
  <si>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</si>
  <si>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</si>
  <si>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</si>
  <si>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</si>
  <si>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</si>
  <si>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</si>
  <si>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</si>
  <si>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</si>
  <si>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</si>
  <si>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</si>
  <si>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</si>
  <si>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</si>
  <si>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</si>
  <si>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</si>
  <si>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</si>
  <si>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</si>
  <si>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</si>
  <si>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</si>
  <si>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</si>
  <si>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</si>
  <si>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</si>
  <si>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</si>
  <si>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</si>
  <si>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</si>
  <si>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</si>
  <si>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</si>
  <si>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</si>
  <si>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</si>
  <si>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</si>
  <si>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</si>
  <si>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</si>
  <si>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</si>
  <si>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</si>
  <si>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</si>
  <si>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</si>
  <si>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</si>
  <si>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</si>
  <si>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</si>
  <si>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</si>
  <si>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</si>
  <si>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</si>
  <si>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</si>
  <si>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</si>
  <si>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</si>
  <si>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</si>
  <si>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</si>
  <si>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</si>
  <si>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</si>
  <si>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</si>
  <si>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</si>
  <si>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</si>
  <si>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</si>
  <si>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</si>
  <si>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</si>
  <si>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</si>
  <si>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</si>
  <si>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</si>
  <si>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</si>
  <si>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</si>
  <si>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</si>
  <si>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</si>
  <si>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</si>
  <si>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</si>
  <si>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</si>
  <si>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</si>
  <si>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</si>
  <si>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</si>
  <si>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</si>
  <si>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</si>
  <si>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</si>
  <si>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</si>
  <si>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</si>
  <si>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</si>
  <si>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</si>
  <si>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</si>
  <si>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</si>
  <si>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</si>
  <si>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</si>
  <si>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</si>
  <si>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</si>
  <si>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</si>
  <si>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</si>
  <si>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</si>
  <si>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</si>
  <si>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</si>
  <si>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</si>
  <si>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</si>
  <si>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</si>
  <si>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</si>
  <si>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</si>
  <si>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</si>
  <si>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</si>
  <si>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</si>
  <si>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</si>
  <si>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</si>
  <si>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</si>
  <si>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</si>
  <si>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</si>
  <si>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</si>
  <si>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</si>
  <si>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</si>
  <si>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</si>
  <si>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</si>
  <si>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</si>
  <si>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</si>
  <si>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</si>
  <si>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</si>
  <si>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</si>
  <si>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</si>
  <si>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</si>
  <si>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</si>
  <si>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</si>
  <si>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</si>
  <si>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</si>
  <si>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</si>
  <si>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</si>
  <si>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</si>
  <si>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</si>
  <si>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</si>
  <si>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</si>
  <si>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</si>
  <si>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</si>
  <si>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</si>
  <si>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</si>
  <si>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</si>
  <si>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</si>
  <si>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</si>
  <si>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</si>
  <si>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</si>
  <si>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</si>
  <si>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</si>
  <si>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</si>
  <si>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</si>
  <si>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</si>
  <si>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</si>
  <si>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</si>
  <si>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</si>
  <si>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</si>
  <si>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</si>
  <si>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</si>
  <si>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</si>
  <si>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</si>
  <si>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</si>
  <si>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</si>
  <si>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</si>
  <si>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</si>
  <si>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</si>
  <si>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</si>
  <si>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</si>
  <si>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</si>
  <si>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</si>
  <si>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</si>
  <si>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</si>
  <si>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</si>
  <si>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</si>
  <si>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</si>
  <si>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</si>
  <si>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</si>
  <si>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</si>
  <si>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</si>
  <si>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</si>
  <si>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</si>
  <si>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</si>
  <si>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</si>
  <si>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</si>
  <si>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</si>
  <si>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</si>
  <si>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</si>
  <si>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</si>
  <si>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</si>
  <si>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</si>
  <si>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</si>
  <si>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</si>
  <si>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</si>
  <si>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</si>
  <si>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</si>
  <si>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</si>
  <si>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</si>
  <si>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</si>
  <si>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</si>
  <si>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</si>
  <si>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</si>
  <si>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</si>
  <si>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</si>
  <si>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</si>
  <si>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</si>
  <si>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</si>
  <si>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</si>
  <si>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</si>
  <si>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</si>
  <si>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</si>
  <si>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</si>
  <si>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</si>
  <si>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</si>
  <si>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</si>
  <si>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</si>
  <si>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</si>
  <si>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</si>
  <si>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</si>
  <si>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</si>
  <si>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</si>
  <si>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</si>
  <si>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</si>
  <si>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</si>
  <si>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</si>
  <si>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</si>
  <si>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</si>
  <si>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</si>
  <si>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</si>
  <si>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</si>
  <si>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</si>
  <si>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</si>
  <si>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</si>
  <si>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</si>
  <si>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</si>
  <si>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</si>
  <si>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</si>
  <si>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</si>
  <si>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</si>
  <si>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</si>
  <si>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</si>
  <si>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</si>
  <si>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</si>
  <si>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</si>
  <si>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</si>
  <si>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</si>
  <si>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</si>
  <si>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</si>
  <si>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</si>
  <si>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</si>
  <si>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</si>
  <si>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</si>
  <si>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</si>
  <si>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</si>
  <si>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</si>
  <si>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</si>
  <si>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</si>
  <si>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</si>
  <si>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</si>
  <si>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</si>
  <si>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</si>
  <si>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</si>
  <si>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</si>
  <si>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</si>
  <si>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</si>
  <si>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</si>
  <si>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</si>
  <si>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</si>
  <si>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</si>
  <si>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</si>
  <si>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</si>
  <si>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</si>
  <si>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</si>
  <si>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</si>
  <si>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</si>
  <si>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</si>
  <si>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</si>
  <si>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</si>
  <si>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</si>
  <si>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</si>
  <si>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</si>
  <si>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</si>
  <si>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</si>
  <si>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</si>
  <si>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</si>
  <si>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</si>
  <si>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</si>
  <si>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</si>
  <si>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</si>
  <si>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</si>
  <si>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</si>
  <si>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</si>
  <si>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</si>
  <si>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</si>
  <si>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</si>
  <si>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</si>
  <si>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</si>
  <si>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</si>
  <si>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</si>
  <si>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</si>
  <si>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</si>
  <si>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</si>
  <si>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</si>
  <si>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</si>
  <si>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</si>
  <si>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</si>
  <si>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</si>
  <si>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</si>
  <si>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</si>
  <si>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</si>
  <si>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</si>
  <si>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</si>
  <si>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</si>
  <si>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</si>
  <si>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</si>
  <si>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</si>
  <si>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</si>
  <si>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</si>
  <si>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</si>
  <si>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03334171</t>
  </si>
  <si>
    <t>080118427</t>
  </si>
  <si>
    <t>89018712265</t>
  </si>
  <si>
    <t>JADRANSKI NAFTOVOD D.D.</t>
  </si>
  <si>
    <t>ZAGREB</t>
  </si>
  <si>
    <t>MIRAMARSKA CESTA 24</t>
  </si>
  <si>
    <t>janaf@janaf.hr</t>
  </si>
  <si>
    <t>www.janaf.hr</t>
  </si>
  <si>
    <t>DA</t>
  </si>
  <si>
    <t>11686457780</t>
  </si>
  <si>
    <t>MIRJANA MATAIJA</t>
  </si>
  <si>
    <t>013039369</t>
  </si>
  <si>
    <t>013039382</t>
  </si>
  <si>
    <t>mirjana.mataija@janaf.hr</t>
  </si>
  <si>
    <t>DRAGAN KOVAČEVIĆ</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</si>
</sst>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104">
    <font>
      <sz val="10"/>
      <name val="Arial"/>
      <family val="0"/>
    </font>
    <font>
      <sz val="11"/>
      <color indexed="8"/>
      <name val="arial"/>
      <family val="2"/>
    </font>
    <font>
      <sz val="8"/>
      <name val="Arial"/>
      <family val="2"/>
    </font>
    <font>
      <b/>
      <sz val="9"/>
      <name val="Arial"/>
      <family val="2"/>
    </font>
    <font>
      <sz val="9"/>
      <name val="Arial"/>
      <family val="2"/>
    </font>
    <font>
      <u val="single"/>
      <sz val="10"/>
      <color indexed="12"/>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thin"/>
      <bottom style="hair"/>
    </border>
    <border>
      <left style="thin"/>
      <right style="thin"/>
      <top style="hair"/>
      <bottom style="thin"/>
    </border>
    <border>
      <left style="thin"/>
      <right/>
      <top style="thin"/>
      <bottom style="thin"/>
    </border>
    <border>
      <left style="hair"/>
      <right style="thin"/>
      <top style="thin"/>
      <bottom style="thin"/>
    </border>
    <border>
      <left style="thin"/>
      <right/>
      <top/>
      <bottom style="thin"/>
    </border>
    <border>
      <left style="hair"/>
      <right style="thin"/>
      <top/>
      <bottom style="thin"/>
    </border>
    <border>
      <left style="thin"/>
      <right style="hair"/>
      <top style="hair"/>
      <bottom style="hair"/>
    </border>
    <border>
      <left style="thin"/>
      <right style="hair"/>
      <top style="hair"/>
      <bottom style="thin"/>
    </border>
    <border>
      <left style="thin"/>
      <right/>
      <top/>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top style="hair"/>
      <bottom style="hair"/>
    </border>
    <border>
      <left style="thin"/>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top style="thin"/>
      <bottom style="medium">
        <color indexed="22"/>
      </bottom>
    </border>
    <border>
      <left style="thin"/>
      <right/>
      <top style="thin"/>
      <bottom/>
    </border>
    <border>
      <left/>
      <right/>
      <top style="thin"/>
      <bottom/>
    </border>
    <border>
      <left style="thin"/>
      <right style="thin"/>
      <top/>
      <bottom style="thin"/>
    </border>
    <border>
      <left style="thin"/>
      <right style="thin"/>
      <top/>
      <bottom/>
    </border>
    <border>
      <left/>
      <right style="thin"/>
      <top style="thin"/>
      <bottom/>
    </border>
    <border>
      <left style="thin"/>
      <right/>
      <top style="thin"/>
      <bottom style="thin">
        <color indexed="22"/>
      </bottom>
    </border>
    <border>
      <left style="thin"/>
      <right style="thin"/>
      <top style="thin"/>
      <bottom style="thin">
        <color indexed="22"/>
      </bottom>
    </border>
    <border>
      <left style="thin"/>
      <right/>
      <top style="thin">
        <color indexed="22"/>
      </top>
      <bottom style="thin">
        <color indexed="22"/>
      </bottom>
    </border>
    <border>
      <left style="thin"/>
      <right style="thin"/>
      <top style="thin">
        <color indexed="22"/>
      </top>
      <bottom style="thin">
        <color indexed="22"/>
      </bottom>
    </border>
    <border>
      <left style="thin"/>
      <right/>
      <top style="thin">
        <color indexed="22"/>
      </top>
      <bottom style="thin"/>
    </border>
    <border>
      <left style="thin"/>
      <right style="thin"/>
      <top style="thin">
        <color indexed="22"/>
      </top>
      <bottom style="thin"/>
    </border>
    <border>
      <left/>
      <right/>
      <top style="thin">
        <color indexed="22"/>
      </top>
      <bottom style="thin"/>
    </border>
    <border>
      <left/>
      <right style="thin"/>
      <top style="thin">
        <color indexed="22"/>
      </top>
      <bottom style="thin"/>
    </border>
    <border>
      <left/>
      <right/>
      <top style="thin"/>
      <bottom style="thin">
        <color indexed="22"/>
      </bottom>
    </border>
    <border>
      <left/>
      <right style="thin"/>
      <top style="thin"/>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style="double"/>
      <right/>
      <top/>
      <bottom style="double"/>
    </border>
    <border>
      <left/>
      <right/>
      <top/>
      <bottom style="double"/>
    </border>
    <border>
      <left/>
      <right style="double"/>
      <top/>
      <bottom style="double"/>
    </border>
    <border>
      <left style="double"/>
      <right/>
      <top/>
      <bottom/>
    </border>
    <border>
      <left/>
      <right style="double"/>
      <top/>
      <bottom/>
    </border>
    <border>
      <left style="double"/>
      <right/>
      <top style="double"/>
      <bottom/>
    </border>
    <border>
      <left/>
      <right/>
      <top style="double"/>
      <bottom/>
    </border>
    <border>
      <left/>
      <right style="double"/>
      <top style="double"/>
      <bottom/>
    </border>
    <border>
      <left/>
      <right/>
      <top style="medium"/>
      <bottom/>
    </border>
    <border>
      <left/>
      <right/>
      <top style="hair"/>
      <bottom style="hair"/>
    </border>
    <border>
      <left/>
      <right style="thin"/>
      <top style="hair"/>
      <bottom style="hair"/>
    </border>
    <border>
      <left/>
      <right/>
      <top style="thin"/>
      <bottom style="medium">
        <color indexed="22"/>
      </bottom>
    </border>
    <border>
      <left/>
      <right style="thin"/>
      <top style="thin"/>
      <bottom style="medium">
        <color indexed="22"/>
      </bottom>
    </border>
    <border>
      <left style="medium"/>
      <right style="medium"/>
      <top style="medium"/>
      <bottom/>
    </border>
    <border>
      <left style="medium"/>
      <right style="medium"/>
      <top/>
      <bottom style="medium"/>
    </border>
    <border>
      <left/>
      <right style="medium"/>
      <top/>
      <bottom/>
    </border>
    <border>
      <left/>
      <right/>
      <top style="hair"/>
      <bottom style="thin"/>
    </border>
    <border>
      <left/>
      <right style="thin"/>
      <top style="hair"/>
      <bottom style="thin"/>
    </border>
    <border>
      <left style="thin"/>
      <right/>
      <top/>
      <bottom style="hair"/>
    </border>
    <border>
      <left/>
      <right/>
      <top/>
      <bottom style="hair"/>
    </border>
    <border>
      <left/>
      <right style="thin"/>
      <top/>
      <bottom style="hair"/>
    </border>
    <border>
      <left style="thin"/>
      <right style="hair"/>
      <top style="thin"/>
      <bottom style="thin"/>
    </border>
    <border>
      <left style="hair"/>
      <right style="hair"/>
      <top style="thin"/>
      <bottom style="thin"/>
    </border>
    <border>
      <left style="thin"/>
      <right style="hair"/>
      <top/>
      <bottom style="thin"/>
    </border>
    <border>
      <left style="hair"/>
      <right style="hair"/>
      <top/>
      <bottom style="thin"/>
    </border>
    <border>
      <left style="thin"/>
      <right/>
      <top style="medium">
        <color indexed="22"/>
      </top>
      <bottom style="thin">
        <color indexed="12"/>
      </bottom>
    </border>
    <border>
      <left/>
      <right style="thin"/>
      <top style="medium">
        <color indexed="22"/>
      </top>
      <bottom style="thin">
        <color indexed="12"/>
      </bottom>
    </border>
    <border>
      <left/>
      <right/>
      <top style="medium">
        <color indexed="22"/>
      </top>
      <bottom style="thin">
        <color indexed="12"/>
      </bottom>
    </border>
    <border>
      <left style="thin"/>
      <right style="thin"/>
      <top style="thin"/>
      <bottom/>
    </border>
    <border>
      <left style="thin"/>
      <right style="thin"/>
      <top/>
      <bottom style="thin">
        <color indexed="12"/>
      </bottom>
    </border>
    <border>
      <left style="medium">
        <color indexed="56"/>
      </left>
      <right style="medium">
        <color indexed="56"/>
      </right>
      <top style="medium">
        <color indexed="56"/>
      </top>
      <bottom style="medium">
        <color indexed="56"/>
      </bottom>
    </border>
    <border>
      <left style="hair"/>
      <right/>
      <top style="hair"/>
      <bottom style="hair"/>
    </border>
    <border>
      <left style="hair"/>
      <right/>
      <top style="hair"/>
      <bottom style="thin"/>
    </border>
    <border>
      <left style="hair"/>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top style="thin"/>
      <bottom style="thin"/>
    </border>
    <border>
      <left style="hair"/>
      <right style="hair"/>
      <top style="hair"/>
      <bottom style="thin"/>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5"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0" fillId="32" borderId="7" applyNumberFormat="0" applyFont="0" applyAlignment="0" applyProtection="0"/>
    <xf numFmtId="0" fontId="4" fillId="0" borderId="0">
      <alignment/>
      <protection/>
    </xf>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76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49" fontId="3" fillId="0" borderId="12"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vertical="center"/>
      <protection locked="0"/>
    </xf>
    <xf numFmtId="49" fontId="3" fillId="0" borderId="11" xfId="0" applyNumberFormat="1" applyFont="1" applyFill="1" applyBorder="1" applyAlignment="1" applyProtection="1">
      <alignment vertical="center"/>
      <protection locked="0"/>
    </xf>
    <xf numFmtId="0" fontId="0" fillId="0" borderId="0" xfId="0" applyFill="1" applyBorder="1" applyAlignment="1">
      <alignment/>
    </xf>
    <xf numFmtId="164" fontId="12" fillId="0" borderId="10" xfId="0" applyNumberFormat="1" applyFont="1" applyFill="1" applyBorder="1" applyAlignment="1">
      <alignment horizontal="center" vertical="center"/>
    </xf>
    <xf numFmtId="49" fontId="3" fillId="0" borderId="13" xfId="0" applyNumberFormat="1" applyFont="1" applyFill="1" applyBorder="1" applyAlignment="1" applyProtection="1">
      <alignment vertical="center"/>
      <protection locked="0"/>
    </xf>
    <xf numFmtId="164" fontId="12" fillId="0" borderId="14" xfId="0" applyNumberFormat="1" applyFont="1" applyFill="1" applyBorder="1" applyAlignment="1">
      <alignment horizontal="center" vertical="center"/>
    </xf>
    <xf numFmtId="49" fontId="3" fillId="0" borderId="14" xfId="0" applyNumberFormat="1" applyFont="1" applyFill="1" applyBorder="1" applyAlignment="1" applyProtection="1">
      <alignment vertical="center"/>
      <protection locked="0"/>
    </xf>
    <xf numFmtId="164" fontId="3"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4" fillId="0" borderId="0" xfId="57">
      <alignment/>
      <protection/>
    </xf>
    <xf numFmtId="0" fontId="23" fillId="0" borderId="19" xfId="57" applyFont="1" applyBorder="1" applyAlignment="1">
      <alignment horizontal="right" vertical="center"/>
      <protection/>
    </xf>
    <xf numFmtId="0" fontId="23" fillId="0" borderId="20" xfId="57"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2"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2" fillId="0" borderId="29" xfId="0" applyNumberFormat="1" applyFont="1" applyFill="1" applyBorder="1" applyAlignment="1" applyProtection="1">
      <alignment vertical="center"/>
      <protection locked="0"/>
    </xf>
    <xf numFmtId="3" fontId="2" fillId="35" borderId="29" xfId="0" applyNumberFormat="1" applyFont="1" applyFill="1" applyBorder="1" applyAlignment="1" applyProtection="1">
      <alignment vertical="center"/>
      <protection hidden="1"/>
    </xf>
    <xf numFmtId="3" fontId="2"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2" fillId="0" borderId="13" xfId="0" applyNumberFormat="1" applyFont="1" applyFill="1" applyBorder="1" applyAlignment="1" applyProtection="1">
      <alignment vertical="center"/>
      <protection locked="0"/>
    </xf>
    <xf numFmtId="3" fontId="2" fillId="35"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2"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2"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2"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2"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7" applyFont="1" applyBorder="1" applyAlignment="1">
      <alignment horizontal="left" vertical="center"/>
      <protection/>
    </xf>
    <xf numFmtId="0" fontId="23" fillId="0" borderId="32" xfId="57" applyFont="1" applyBorder="1" applyAlignment="1">
      <alignment horizontal="left" vertical="center"/>
      <protection/>
    </xf>
    <xf numFmtId="0" fontId="32" fillId="37" borderId="33" xfId="57" applyFont="1" applyFill="1" applyBorder="1" applyAlignment="1">
      <alignment horizontal="center" vertical="center" wrapText="1"/>
      <protection/>
    </xf>
    <xf numFmtId="0" fontId="32" fillId="37" borderId="34" xfId="57" applyFont="1" applyFill="1" applyBorder="1" applyAlignment="1">
      <alignment horizontal="center" vertical="center" wrapText="1"/>
      <protection/>
    </xf>
    <xf numFmtId="0" fontId="39" fillId="0" borderId="35" xfId="57" applyFont="1" applyBorder="1" applyAlignment="1">
      <alignment horizontal="center" vertical="center"/>
      <protection/>
    </xf>
    <xf numFmtId="0" fontId="39" fillId="0" borderId="19" xfId="57" applyFont="1" applyBorder="1" applyAlignment="1">
      <alignment horizontal="center" vertical="center"/>
      <protection/>
    </xf>
    <xf numFmtId="0" fontId="40" fillId="0" borderId="19" xfId="57" applyFont="1" applyBorder="1" applyAlignment="1">
      <alignment horizontal="center" vertical="center"/>
      <protection/>
    </xf>
    <xf numFmtId="0" fontId="40" fillId="0" borderId="31" xfId="57" applyFont="1" applyBorder="1" applyAlignment="1">
      <alignment horizontal="left" vertical="center"/>
      <protection/>
    </xf>
    <xf numFmtId="0" fontId="40" fillId="0" borderId="20" xfId="57" applyFont="1" applyBorder="1" applyAlignment="1">
      <alignment horizontal="center" vertical="center"/>
      <protection/>
    </xf>
    <xf numFmtId="0" fontId="39" fillId="0" borderId="36" xfId="57" applyFont="1" applyBorder="1" applyAlignment="1">
      <alignment horizontal="left" vertical="center"/>
      <protection/>
    </xf>
    <xf numFmtId="0" fontId="39" fillId="0" borderId="31" xfId="57"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2" applyFont="1" applyFill="1" applyBorder="1" applyAlignment="1" applyProtection="1">
      <alignment horizontal="center" vertical="center" shrinkToFit="1"/>
      <protection/>
    </xf>
    <xf numFmtId="0" fontId="41" fillId="39" borderId="38" xfId="52" applyFont="1" applyFill="1" applyBorder="1" applyAlignment="1" applyProtection="1">
      <alignment horizontal="center" vertical="center" shrinkToFit="1"/>
      <protection/>
    </xf>
    <xf numFmtId="0" fontId="37" fillId="39" borderId="39" xfId="52" applyFont="1" applyFill="1" applyBorder="1" applyAlignment="1" applyProtection="1">
      <alignment horizontal="center" vertical="center" shrinkToFit="1"/>
      <protection/>
    </xf>
    <xf numFmtId="0" fontId="41" fillId="39" borderId="40" xfId="52" applyFont="1" applyFill="1" applyBorder="1" applyAlignment="1" applyProtection="1">
      <alignment horizontal="center" vertical="center" shrinkToFit="1"/>
      <protection/>
    </xf>
    <xf numFmtId="0" fontId="37" fillId="39" borderId="41" xfId="52" applyFont="1" applyFill="1" applyBorder="1" applyAlignment="1" applyProtection="1">
      <alignment horizontal="center" vertical="center" shrinkToFit="1"/>
      <protection/>
    </xf>
    <xf numFmtId="0" fontId="37" fillId="39" borderId="42" xfId="52" applyFont="1" applyFill="1" applyBorder="1" applyAlignment="1" applyProtection="1">
      <alignment horizontal="center" vertical="center" shrinkToFit="1"/>
      <protection/>
    </xf>
    <xf numFmtId="0" fontId="32" fillId="39" borderId="42" xfId="52"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4" fontId="3"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2"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2"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3" fillId="0" borderId="29" xfId="0" applyNumberFormat="1" applyFont="1" applyFill="1" applyBorder="1" applyAlignment="1" applyProtection="1">
      <alignment horizontal="center" vertical="center"/>
      <protection hidden="1" locked="0"/>
    </xf>
    <xf numFmtId="49" fontId="3"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2"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2"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2"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2"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3" fillId="0" borderId="29" xfId="0" applyNumberFormat="1" applyFont="1" applyFill="1" applyBorder="1" applyAlignment="1" applyProtection="1">
      <alignment vertical="center"/>
      <protection locked="0"/>
    </xf>
    <xf numFmtId="49" fontId="3" fillId="0" borderId="30" xfId="0" applyNumberFormat="1" applyFont="1" applyFill="1" applyBorder="1" applyAlignment="1" applyProtection="1">
      <alignment vertical="center"/>
      <protection locked="0"/>
    </xf>
    <xf numFmtId="0" fontId="3"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2"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2"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2" fillId="0" borderId="0" xfId="0" applyFont="1" applyAlignment="1">
      <alignment/>
    </xf>
    <xf numFmtId="0" fontId="8" fillId="0" borderId="0" xfId="0" applyFont="1" applyAlignment="1">
      <alignment wrapText="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43" fillId="0" borderId="21"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2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2" fillId="0" borderId="21"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2" fillId="49" borderId="25" xfId="0" applyFont="1" applyFill="1" applyBorder="1" applyAlignment="1" applyProtection="1">
      <alignment horizontal="left" vertical="center" wrapText="1"/>
      <protection hidden="1"/>
    </xf>
    <xf numFmtId="0" fontId="2" fillId="49" borderId="26" xfId="0" applyFont="1" applyFill="1" applyBorder="1" applyAlignment="1" applyProtection="1">
      <alignment horizontal="left" vertical="center" wrapText="1"/>
      <protection hidden="1"/>
    </xf>
    <xf numFmtId="0" fontId="11" fillId="0" borderId="21" xfId="0" applyNumberFormat="1" applyFont="1" applyBorder="1" applyAlignment="1" applyProtection="1">
      <alignment horizontal="justify" vertical="top"/>
      <protection hidden="1"/>
    </xf>
    <xf numFmtId="0" fontId="2" fillId="0" borderId="0" xfId="0" applyNumberFormat="1" applyFont="1" applyBorder="1" applyAlignment="1" applyProtection="1">
      <alignment horizontal="justify" vertical="top"/>
      <protection hidden="1"/>
    </xf>
    <xf numFmtId="0" fontId="2" fillId="0" borderId="22"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2" fillId="49" borderId="25" xfId="0" applyNumberFormat="1" applyFont="1" applyFill="1" applyBorder="1" applyAlignment="1" applyProtection="1">
      <alignment horizontal="left" vertical="center" wrapText="1"/>
      <protection hidden="1"/>
    </xf>
    <xf numFmtId="0" fontId="2" fillId="49" borderId="26" xfId="0" applyNumberFormat="1" applyFont="1" applyFill="1" applyBorder="1" applyAlignment="1" applyProtection="1">
      <alignment horizontal="left" vertical="center" wrapText="1"/>
      <protection hidden="1"/>
    </xf>
    <xf numFmtId="0" fontId="3" fillId="0" borderId="47" xfId="0" applyNumberFormat="1" applyFont="1" applyBorder="1" applyAlignment="1" applyProtection="1">
      <alignment horizontal="justify" vertical="top"/>
      <protection hidden="1"/>
    </xf>
    <xf numFmtId="0" fontId="3" fillId="0" borderId="48" xfId="0" applyNumberFormat="1" applyFont="1" applyBorder="1" applyAlignment="1" applyProtection="1">
      <alignment horizontal="justify" vertical="top"/>
      <protection hidden="1"/>
    </xf>
    <xf numFmtId="0" fontId="3"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 fillId="0" borderId="0" xfId="0" applyNumberFormat="1" applyFont="1" applyBorder="1" applyAlignment="1" applyProtection="1">
      <alignment horizontal="justify" vertical="center"/>
      <protection hidden="1"/>
    </xf>
    <xf numFmtId="0" fontId="2" fillId="0" borderId="22" xfId="0" applyNumberFormat="1" applyFont="1" applyBorder="1" applyAlignment="1" applyProtection="1">
      <alignment horizontal="justify" vertical="center"/>
      <protection hidden="1"/>
    </xf>
    <xf numFmtId="0" fontId="2" fillId="0" borderId="21" xfId="0" applyNumberFormat="1" applyFont="1" applyBorder="1" applyAlignment="1" applyProtection="1">
      <alignment horizontal="left" vertical="top" wrapText="1"/>
      <protection hidden="1"/>
    </xf>
    <xf numFmtId="0" fontId="2" fillId="0" borderId="0" xfId="0" applyNumberFormat="1" applyFont="1" applyBorder="1" applyAlignment="1" applyProtection="1">
      <alignment horizontal="left" vertical="top" wrapText="1"/>
      <protection hidden="1"/>
    </xf>
    <xf numFmtId="0" fontId="2" fillId="0" borderId="22" xfId="0" applyNumberFormat="1" applyFont="1" applyBorder="1" applyAlignment="1" applyProtection="1">
      <alignment horizontal="left" vertical="top" wrapText="1"/>
      <protection hidden="1"/>
    </xf>
    <xf numFmtId="0" fontId="2" fillId="0" borderId="21" xfId="0" applyNumberFormat="1" applyFont="1" applyBorder="1" applyAlignment="1" applyProtection="1">
      <alignment horizontal="left" vertical="center" wrapText="1"/>
      <protection hidden="1"/>
    </xf>
    <xf numFmtId="0" fontId="2" fillId="0" borderId="0" xfId="0" applyNumberFormat="1" applyFont="1" applyBorder="1" applyAlignment="1" applyProtection="1">
      <alignment horizontal="left" vertical="center" wrapText="1"/>
      <protection hidden="1"/>
    </xf>
    <xf numFmtId="0" fontId="2" fillId="0" borderId="22" xfId="0" applyNumberFormat="1" applyFont="1" applyBorder="1" applyAlignment="1" applyProtection="1">
      <alignment horizontal="left" vertical="center" wrapText="1"/>
      <protection hidden="1"/>
    </xf>
    <xf numFmtId="0" fontId="2" fillId="0" borderId="21"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protection hidden="1"/>
    </xf>
    <xf numFmtId="0" fontId="2" fillId="0" borderId="0" xfId="0" applyNumberFormat="1" applyFont="1" applyBorder="1" applyAlignment="1" applyProtection="1">
      <alignment horizontal="justify" vertical="top"/>
      <protection hidden="1"/>
    </xf>
    <xf numFmtId="0" fontId="2" fillId="0" borderId="22" xfId="0" applyNumberFormat="1" applyFont="1" applyBorder="1" applyAlignment="1" applyProtection="1">
      <alignment horizontal="justify" vertical="top"/>
      <protection hidden="1"/>
    </xf>
    <xf numFmtId="0" fontId="43" fillId="0" borderId="17" xfId="0" applyFont="1" applyBorder="1" applyAlignment="1" applyProtection="1">
      <alignment horizontal="left" vertical="center" wrapText="1"/>
      <protection hidden="1"/>
    </xf>
    <xf numFmtId="0" fontId="2" fillId="0" borderId="23"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2" fillId="0" borderId="17" xfId="0" applyNumberFormat="1" applyFont="1" applyBorder="1" applyAlignment="1" applyProtection="1">
      <alignment horizontal="justify" vertical="top"/>
      <protection hidden="1"/>
    </xf>
    <xf numFmtId="0" fontId="2" fillId="0" borderId="23" xfId="0" applyNumberFormat="1" applyFont="1" applyBorder="1" applyAlignment="1" applyProtection="1">
      <alignment horizontal="justify" vertical="top"/>
      <protection hidden="1"/>
    </xf>
    <xf numFmtId="0" fontId="2" fillId="0" borderId="24"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wrapText="1"/>
      <protection hidden="1"/>
    </xf>
    <xf numFmtId="0" fontId="2" fillId="0" borderId="0" xfId="0" applyNumberFormat="1" applyFont="1" applyBorder="1" applyAlignment="1" applyProtection="1">
      <alignment horizontal="justify" vertical="top" wrapText="1"/>
      <protection hidden="1"/>
    </xf>
    <xf numFmtId="0" fontId="2" fillId="0" borderId="22" xfId="0" applyNumberFormat="1" applyFont="1" applyBorder="1" applyAlignment="1" applyProtection="1">
      <alignment horizontal="justify" vertical="top" wrapText="1"/>
      <protection hidden="1"/>
    </xf>
    <xf numFmtId="0" fontId="2" fillId="0" borderId="47" xfId="0" applyNumberFormat="1" applyFont="1" applyBorder="1" applyAlignment="1" applyProtection="1">
      <alignment horizontal="left" vertical="top" wrapText="1"/>
      <protection hidden="1"/>
    </xf>
    <xf numFmtId="0" fontId="2" fillId="0" borderId="48" xfId="0" applyNumberFormat="1" applyFont="1" applyBorder="1" applyAlignment="1" applyProtection="1">
      <alignment horizontal="left" vertical="top" wrapText="1"/>
      <protection hidden="1"/>
    </xf>
    <xf numFmtId="0" fontId="2" fillId="0" borderId="51"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wrapText="1"/>
      <protection hidden="1"/>
    </xf>
    <xf numFmtId="0" fontId="2"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2" fillId="0" borderId="23" xfId="0" applyNumberFormat="1" applyFont="1" applyBorder="1" applyAlignment="1" applyProtection="1">
      <alignment horizontal="justify" vertical="top"/>
      <protection hidden="1"/>
    </xf>
    <xf numFmtId="0" fontId="2"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2" fillId="0" borderId="48" xfId="0" applyNumberFormat="1" applyFont="1" applyBorder="1" applyAlignment="1" applyProtection="1">
      <alignment horizontal="justify" vertical="center"/>
      <protection hidden="1"/>
    </xf>
    <xf numFmtId="0" fontId="2"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2" fillId="0" borderId="65" xfId="0" applyNumberFormat="1" applyFont="1" applyBorder="1" applyAlignment="1" applyProtection="1">
      <alignment horizontal="justify" vertical="center"/>
      <protection hidden="1"/>
    </xf>
    <xf numFmtId="0" fontId="2"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2" fillId="0" borderId="68" xfId="0" applyNumberFormat="1" applyFont="1" applyBorder="1" applyAlignment="1" applyProtection="1">
      <alignment horizontal="justify" vertical="center"/>
      <protection hidden="1"/>
    </xf>
    <xf numFmtId="0" fontId="2" fillId="0" borderId="69" xfId="0" applyNumberFormat="1" applyFont="1" applyBorder="1" applyAlignment="1" applyProtection="1">
      <alignment horizontal="justify" vertical="center"/>
      <protection hidden="1"/>
    </xf>
    <xf numFmtId="0" fontId="25" fillId="35" borderId="70" xfId="52" applyFont="1" applyFill="1" applyBorder="1" applyAlignment="1" applyProtection="1">
      <alignment vertical="center" wrapText="1"/>
      <protection/>
    </xf>
    <xf numFmtId="0" fontId="25" fillId="35" borderId="71" xfId="52" applyFont="1" applyFill="1" applyBorder="1" applyAlignment="1" applyProtection="1">
      <alignment vertical="center" wrapText="1"/>
      <protection/>
    </xf>
    <xf numFmtId="0" fontId="25" fillId="35" borderId="72" xfId="52" applyFont="1" applyFill="1" applyBorder="1" applyAlignment="1" applyProtection="1">
      <alignment vertical="center" wrapText="1"/>
      <protection/>
    </xf>
    <xf numFmtId="0" fontId="23" fillId="50"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73" xfId="52" applyFont="1" applyFill="1" applyBorder="1" applyAlignment="1" applyProtection="1">
      <alignment vertical="center" wrapText="1"/>
      <protection/>
    </xf>
    <xf numFmtId="0" fontId="25" fillId="35" borderId="0" xfId="52" applyFont="1" applyFill="1" applyBorder="1" applyAlignment="1" applyProtection="1">
      <alignment vertical="center" wrapText="1"/>
      <protection/>
    </xf>
    <xf numFmtId="0" fontId="25" fillId="35" borderId="74" xfId="52" applyFont="1" applyFill="1" applyBorder="1" applyAlignment="1" applyProtection="1">
      <alignment vertical="center" wrapText="1"/>
      <protection/>
    </xf>
    <xf numFmtId="0" fontId="25" fillId="35" borderId="75" xfId="52" applyFont="1" applyFill="1" applyBorder="1" applyAlignment="1" applyProtection="1">
      <alignment vertical="center" wrapText="1"/>
      <protection/>
    </xf>
    <xf numFmtId="0" fontId="23" fillId="35" borderId="76" xfId="52" applyFont="1" applyFill="1" applyBorder="1" applyAlignment="1" applyProtection="1">
      <alignment vertical="center" wrapText="1"/>
      <protection/>
    </xf>
    <xf numFmtId="0" fontId="23" fillId="35" borderId="77" xfId="52"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2"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2" fillId="0" borderId="0" xfId="0" applyFont="1" applyAlignment="1" applyProtection="1">
      <alignment horizontal="right" vertical="center"/>
      <protection hidden="1"/>
    </xf>
    <xf numFmtId="0" fontId="2"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5" fillId="35" borderId="17" xfId="52"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5" fillId="35" borderId="17" xfId="52" applyNumberForma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2" fillId="0" borderId="0" xfId="0" applyFont="1" applyAlignment="1" applyProtection="1">
      <alignment horizontal="right" vertical="center" wrapText="1"/>
      <protection hidden="1"/>
    </xf>
    <xf numFmtId="0" fontId="2"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3"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4" fillId="0" borderId="0" xfId="0" applyFont="1" applyBorder="1" applyAlignment="1" applyProtection="1">
      <alignment horizontal="right" vertical="center"/>
      <protection hidden="1"/>
    </xf>
    <xf numFmtId="0" fontId="4"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0" fontId="2"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4" fillId="0" borderId="0" xfId="0" applyFont="1" applyAlignment="1" applyProtection="1">
      <alignment horizontal="right" vertical="center" wrapText="1"/>
      <protection hidden="1"/>
    </xf>
    <xf numFmtId="0" fontId="4" fillId="0" borderId="0" xfId="0" applyFont="1" applyAlignment="1" applyProtection="1">
      <alignment vertical="center" wrapText="1"/>
      <protection hidden="1"/>
    </xf>
    <xf numFmtId="0" fontId="4"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2"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4" fillId="0" borderId="29"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4" fillId="0" borderId="29" xfId="0" applyFont="1" applyFill="1" applyBorder="1" applyAlignment="1">
      <alignment horizontal="left" vertical="center" wrapText="1" indent="1"/>
    </xf>
    <xf numFmtId="0" fontId="4" fillId="0" borderId="79" xfId="0" applyFont="1" applyFill="1" applyBorder="1" applyAlignment="1">
      <alignment horizontal="left" vertical="center" wrapText="1" indent="1"/>
    </xf>
    <xf numFmtId="0" fontId="4" fillId="0" borderId="80" xfId="0" applyFont="1" applyFill="1" applyBorder="1" applyAlignment="1">
      <alignment horizontal="left" vertical="center" wrapText="1" indent="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1" xfId="0" applyFont="1" applyFill="1" applyBorder="1" applyAlignment="1" applyProtection="1">
      <alignment horizontal="center" vertical="center" wrapText="1"/>
      <protection hidden="1"/>
    </xf>
    <xf numFmtId="0" fontId="37" fillId="37" borderId="82"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3" fillId="0" borderId="87"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4" fillId="0" borderId="64" xfId="0" applyFont="1" applyFill="1" applyBorder="1" applyAlignment="1">
      <alignment horizontal="left" vertical="center" wrapText="1" indent="1"/>
    </xf>
    <xf numFmtId="0" fontId="4" fillId="0" borderId="65" xfId="0" applyFont="1" applyFill="1" applyBorder="1" applyAlignment="1">
      <alignment horizontal="left" vertical="center" wrapText="1" indent="1"/>
    </xf>
    <xf numFmtId="0" fontId="4" fillId="0" borderId="66" xfId="0" applyFont="1" applyFill="1" applyBorder="1" applyAlignment="1">
      <alignment horizontal="left" vertical="center" wrapText="1" indent="1"/>
    </xf>
    <xf numFmtId="0" fontId="3" fillId="40" borderId="15" xfId="0" applyFont="1" applyFill="1" applyBorder="1" applyAlignment="1">
      <alignment horizontal="left" vertical="center" wrapText="1"/>
    </xf>
    <xf numFmtId="0" fontId="3"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80"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0" borderId="66" xfId="0" applyFont="1" applyBorder="1" applyAlignment="1">
      <alignment vertical="center" wrapText="1"/>
    </xf>
    <xf numFmtId="0" fontId="15" fillId="0" borderId="87" xfId="0" applyFont="1" applyBorder="1" applyAlignment="1">
      <alignment vertical="center" wrapText="1"/>
    </xf>
    <xf numFmtId="0" fontId="4" fillId="0" borderId="88"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4" fillId="0" borderId="30"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6" fillId="37" borderId="95" xfId="0" applyFont="1" applyFill="1" applyBorder="1" applyAlignment="1">
      <alignment horizontal="center" vertical="center"/>
    </xf>
    <xf numFmtId="0" fontId="36" fillId="37" borderId="96" xfId="0" applyFont="1" applyFill="1" applyBorder="1" applyAlignment="1">
      <alignment horizontal="center" vertical="center"/>
    </xf>
    <xf numFmtId="0" fontId="36" fillId="37" borderId="97" xfId="0" applyFont="1" applyFill="1" applyBorder="1" applyAlignment="1">
      <alignment horizontal="center" vertical="center"/>
    </xf>
    <xf numFmtId="0" fontId="37" fillId="37" borderId="98" xfId="0" applyFont="1" applyFill="1" applyBorder="1" applyAlignment="1">
      <alignment horizontal="center" vertical="center" wrapText="1"/>
    </xf>
    <xf numFmtId="0" fontId="38" fillId="37" borderId="99"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2" fillId="0" borderId="10"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40" fillId="0" borderId="102" xfId="0" applyFont="1" applyBorder="1" applyAlignment="1">
      <alignment vertical="center" wrapText="1"/>
    </xf>
    <xf numFmtId="0" fontId="40" fillId="0" borderId="86" xfId="0" applyFont="1" applyBorder="1" applyAlignment="1">
      <alignment vertical="center" wrapText="1"/>
    </xf>
    <xf numFmtId="0" fontId="40" fillId="0" borderId="87" xfId="0" applyFont="1" applyBorder="1" applyAlignment="1">
      <alignment vertical="center" wrapText="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3"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104" xfId="0" applyFont="1" applyFill="1" applyBorder="1" applyAlignment="1" applyProtection="1">
      <alignment horizontal="center" vertical="center" wrapText="1"/>
      <protection hidden="1"/>
    </xf>
    <xf numFmtId="0" fontId="37" fillId="38" borderId="104"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101" xfId="57" applyFont="1" applyBorder="1" applyAlignment="1">
      <alignment horizontal="left" vertical="center"/>
      <protection/>
    </xf>
    <xf numFmtId="0" fontId="39" fillId="0" borderId="80" xfId="57" applyFont="1" applyBorder="1" applyAlignment="1">
      <alignment horizontal="left" vertical="center"/>
      <protection/>
    </xf>
    <xf numFmtId="0" fontId="40" fillId="0" borderId="105" xfId="57" applyFont="1" applyBorder="1" applyAlignment="1">
      <alignment horizontal="left" vertical="center"/>
      <protection/>
    </xf>
    <xf numFmtId="0" fontId="40" fillId="0" borderId="31" xfId="57" applyFont="1" applyBorder="1" applyAlignment="1">
      <alignment horizontal="left" vertical="center"/>
      <protection/>
    </xf>
    <xf numFmtId="0" fontId="32" fillId="37" borderId="106" xfId="57"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107" xfId="57" applyFont="1" applyBorder="1" applyAlignment="1">
      <alignment horizontal="left" vertical="center"/>
      <protection/>
    </xf>
    <xf numFmtId="0" fontId="40" fillId="0" borderId="32" xfId="57"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103" xfId="57" applyFont="1" applyBorder="1" applyAlignment="1">
      <alignment horizontal="left" vertical="center"/>
      <protection/>
    </xf>
    <xf numFmtId="0" fontId="39" fillId="0" borderId="69" xfId="57" applyFont="1" applyBorder="1" applyAlignment="1">
      <alignment horizontal="left" vertical="center"/>
      <protection/>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1" fillId="0" borderId="102" xfId="0" applyFont="1" applyBorder="1" applyAlignment="1" applyProtection="1">
      <alignment vertical="center" wrapText="1"/>
      <protection hidden="1"/>
    </xf>
    <xf numFmtId="0" fontId="22" fillId="0" borderId="86" xfId="0" applyFont="1" applyBorder="1" applyAlignment="1" applyProtection="1">
      <alignment wrapText="1"/>
      <protection hidden="1"/>
    </xf>
    <xf numFmtId="0" fontId="22" fillId="0" borderId="87"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1" fillId="0" borderId="30" xfId="0" applyFont="1" applyBorder="1" applyAlignment="1" applyProtection="1">
      <alignment vertical="center"/>
      <protection hidden="1"/>
    </xf>
    <xf numFmtId="0" fontId="11"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6" xfId="0" applyFont="1" applyFill="1" applyBorder="1" applyAlignment="1" applyProtection="1">
      <alignment vertical="center"/>
      <protection hidden="1"/>
    </xf>
    <xf numFmtId="0" fontId="11"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38" fillId="38" borderId="26" xfId="0" applyFont="1" applyFill="1" applyBorder="1" applyAlignment="1" applyProtection="1">
      <alignment horizontal="left"/>
      <protection hidden="1"/>
    </xf>
    <xf numFmtId="0" fontId="11" fillId="0" borderId="80"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bično_Knjiga2" xfId="57"/>
    <cellStyle name="Output" xfId="58"/>
    <cellStyle name="Percent" xfId="59"/>
    <cellStyle name="Title" xfId="60"/>
    <cellStyle name="Total" xfId="61"/>
    <cellStyle name="Warning Text" xfId="62"/>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177039243.5</v>
      </c>
      <c r="I3" s="27">
        <f>ABS(ROUND(J3,0)-J3)+ABS(ROUND(K3,0)-K3)</f>
        <v>0</v>
      </c>
      <c r="J3" s="75">
        <f>Bilanca!K11</f>
        <v>2895491467</v>
      </c>
      <c r="K3" s="76">
        <f>Bilanca!L11</f>
        <v>2978235354</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7660801.23</v>
      </c>
      <c r="I4" s="77">
        <f>ABS(ROUND(J4,0)-J4)+ABS(ROUND(K4,0)-K4)</f>
        <v>0</v>
      </c>
      <c r="J4" s="75">
        <f>Bilanca!K12</f>
        <v>82041415</v>
      </c>
      <c r="K4" s="76">
        <f>Bilanca!L12</f>
        <v>86659313</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03334171</v>
      </c>
      <c r="C6" s="27"/>
      <c r="D6" s="27" t="s">
        <v>2272</v>
      </c>
      <c r="E6" s="27">
        <v>1</v>
      </c>
      <c r="F6" s="27">
        <f>Bilanca!I14</f>
        <v>5</v>
      </c>
      <c r="G6" s="27">
        <f>IF(Bilanca!J14=0,"",Bilanca!J14)</f>
      </c>
      <c r="H6" s="224">
        <f t="shared" si="1"/>
        <v>12519930.299999999</v>
      </c>
      <c r="I6" s="77">
        <f t="shared" si="2"/>
        <v>0</v>
      </c>
      <c r="J6" s="75">
        <f>Bilanca!K14</f>
        <v>78215440</v>
      </c>
      <c r="K6" s="76">
        <f>Bilanca!L14</f>
        <v>86091583</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080118427</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89018712265</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JADRANSKI NAFTOVOD D.D.</v>
      </c>
      <c r="C9" s="27"/>
      <c r="D9" s="27" t="s">
        <v>2272</v>
      </c>
      <c r="E9" s="27">
        <v>1</v>
      </c>
      <c r="F9" s="27">
        <f>Bilanca!I17</f>
        <v>8</v>
      </c>
      <c r="G9" s="27">
        <f>IF(Bilanca!J17=0,"",Bilanca!J17)</f>
      </c>
      <c r="H9" s="224">
        <f t="shared" si="1"/>
        <v>396914.8</v>
      </c>
      <c r="I9" s="27">
        <f t="shared" si="2"/>
        <v>0</v>
      </c>
      <c r="J9" s="75">
        <f>Bilanca!K17</f>
        <v>3825975</v>
      </c>
      <c r="K9" s="76">
        <f>Bilanca!L17</f>
        <v>567730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10000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ZAGREB</v>
      </c>
      <c r="C11" s="27"/>
      <c r="D11" s="27" t="s">
        <v>2272</v>
      </c>
      <c r="E11" s="27">
        <v>1</v>
      </c>
      <c r="F11" s="27">
        <f>Bilanca!I19</f>
        <v>10</v>
      </c>
      <c r="G11" s="27">
        <f>IF(Bilanca!J19=0,"",Bilanca!J19)</f>
      </c>
      <c r="H11" s="224">
        <f t="shared" si="1"/>
        <v>854787038.9000001</v>
      </c>
      <c r="I11" s="27">
        <f t="shared" si="2"/>
        <v>0</v>
      </c>
      <c r="J11" s="75">
        <f>Bilanca!K19</f>
        <v>2796112707</v>
      </c>
      <c r="K11" s="76">
        <f>Bilanca!L19</f>
        <v>2875878841</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MIRAMARSKA CESTA 24</v>
      </c>
      <c r="C12" s="27"/>
      <c r="D12" s="27" t="s">
        <v>2272</v>
      </c>
      <c r="E12" s="27">
        <v>1</v>
      </c>
      <c r="F12" s="27">
        <f>Bilanca!I20</f>
        <v>11</v>
      </c>
      <c r="G12" s="27">
        <f>IF(Bilanca!J20=0,"",Bilanca!J20)</f>
      </c>
      <c r="H12" s="224">
        <f t="shared" si="1"/>
        <v>126998947.89999999</v>
      </c>
      <c r="I12" s="77">
        <f t="shared" si="2"/>
        <v>0</v>
      </c>
      <c r="J12" s="75">
        <f>Bilanca!K20</f>
        <v>384789480</v>
      </c>
      <c r="K12" s="76">
        <f>Bilanca!L20</f>
        <v>384873205</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janaf@janaf.hr</v>
      </c>
      <c r="C13" s="27"/>
      <c r="D13" s="27" t="s">
        <v>2272</v>
      </c>
      <c r="E13" s="27">
        <v>1</v>
      </c>
      <c r="F13" s="27">
        <f>Bilanca!I21</f>
        <v>12</v>
      </c>
      <c r="G13" s="27">
        <f>IF(Bilanca!J21=0,"",Bilanca!J21)</f>
      </c>
      <c r="H13" s="224">
        <f t="shared" si="1"/>
        <v>387077288.15999997</v>
      </c>
      <c r="I13" s="27">
        <f t="shared" si="2"/>
        <v>0</v>
      </c>
      <c r="J13" s="75">
        <f>Bilanca!K21</f>
        <v>1027373460</v>
      </c>
      <c r="K13" s="76">
        <f>Bilanca!L21</f>
        <v>1099135304</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www.janaf.hr</v>
      </c>
      <c r="C14" s="27"/>
      <c r="D14" s="27" t="s">
        <v>2272</v>
      </c>
      <c r="E14" s="27">
        <v>1</v>
      </c>
      <c r="F14" s="27">
        <f>Bilanca!I22</f>
        <v>13</v>
      </c>
      <c r="G14" s="27">
        <f>IF(Bilanca!J22=0,"",Bilanca!J22)</f>
      </c>
      <c r="H14" s="224">
        <f t="shared" si="1"/>
        <v>138887266.57</v>
      </c>
      <c r="I14" s="77">
        <f t="shared" si="2"/>
        <v>0</v>
      </c>
      <c r="J14" s="75">
        <f>Bilanca!K22</f>
        <v>339722563</v>
      </c>
      <c r="K14" s="76">
        <f>Bilanca!L22</f>
        <v>364320513</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21</v>
      </c>
      <c r="C15" s="27"/>
      <c r="D15" s="27" t="s">
        <v>2272</v>
      </c>
      <c r="E15" s="27">
        <v>1</v>
      </c>
      <c r="F15" s="27">
        <f>Bilanca!I23</f>
        <v>14</v>
      </c>
      <c r="G15" s="27">
        <f>IF(Bilanca!J23=0,"",Bilanca!J23)</f>
      </c>
      <c r="H15" s="224">
        <f t="shared" si="1"/>
        <v>7008815.9399999995</v>
      </c>
      <c r="I15" s="27">
        <f t="shared" si="2"/>
        <v>0</v>
      </c>
      <c r="J15" s="75">
        <f>Bilanca!K23</f>
        <v>12932093</v>
      </c>
      <c r="K15" s="76">
        <f>Bilanca!L23</f>
        <v>18565439</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133</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4950</v>
      </c>
      <c r="C17" s="27"/>
      <c r="D17" s="27" t="s">
        <v>2272</v>
      </c>
      <c r="E17" s="27">
        <v>1</v>
      </c>
      <c r="F17" s="27">
        <f>Bilanca!I25</f>
        <v>16</v>
      </c>
      <c r="G17" s="27">
        <f>IF(Bilanca!J25=0,"",Bilanca!J25)</f>
      </c>
      <c r="H17" s="224">
        <f t="shared" si="1"/>
        <v>4532284.16</v>
      </c>
      <c r="I17" s="27">
        <f t="shared" si="2"/>
        <v>0</v>
      </c>
      <c r="J17" s="75">
        <f>Bilanca!K25</f>
        <v>20069538</v>
      </c>
      <c r="K17" s="76">
        <f>Bilanca!L25</f>
        <v>4128619</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394659554.47</v>
      </c>
      <c r="I18" s="77">
        <f t="shared" si="2"/>
        <v>0</v>
      </c>
      <c r="J18" s="75">
        <f>Bilanca!K26</f>
        <v>779044655</v>
      </c>
      <c r="K18" s="76">
        <f>Bilanca!L26</f>
        <v>771241068</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125893854.72</v>
      </c>
      <c r="I19" s="27">
        <f t="shared" si="2"/>
        <v>0</v>
      </c>
      <c r="J19" s="75">
        <f>Bilanca!K27</f>
        <v>232180918</v>
      </c>
      <c r="K19" s="76">
        <f>Bilanca!L27</f>
        <v>233614693</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3</v>
      </c>
      <c r="C21" s="27"/>
      <c r="D21" s="27" t="s">
        <v>2272</v>
      </c>
      <c r="E21" s="27">
        <v>1</v>
      </c>
      <c r="F21" s="27">
        <f>Bilanca!I29</f>
        <v>20</v>
      </c>
      <c r="G21" s="27">
        <f>IF(Bilanca!J29=0,"",Bilanca!J29)</f>
      </c>
      <c r="H21" s="224">
        <f t="shared" si="1"/>
        <v>893810.2</v>
      </c>
      <c r="I21" s="27">
        <f t="shared" si="2"/>
        <v>0</v>
      </c>
      <c r="J21" s="75">
        <f>Bilanca!K29</f>
        <v>1070859</v>
      </c>
      <c r="K21" s="76">
        <f>Bilanca!L29</f>
        <v>1699096</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42</v>
      </c>
      <c r="C22" s="27"/>
      <c r="D22" s="27" t="s">
        <v>2272</v>
      </c>
      <c r="E22" s="27">
        <v>1</v>
      </c>
      <c r="F22" s="27">
        <f>Bilanca!I30</f>
        <v>21</v>
      </c>
      <c r="G22" s="27">
        <f>IF(Bilanca!J30=0,"",Bilanca!J30)</f>
      </c>
      <c r="H22" s="224">
        <f t="shared" si="1"/>
        <v>47429.34</v>
      </c>
      <c r="I22" s="77">
        <f t="shared" si="2"/>
        <v>0</v>
      </c>
      <c r="J22" s="75">
        <f>Bilanca!K30</f>
        <v>64046</v>
      </c>
      <c r="K22" s="76">
        <f>Bilanca!L30</f>
        <v>80904</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908951.34</v>
      </c>
      <c r="I23" s="27">
        <f t="shared" si="2"/>
        <v>0</v>
      </c>
      <c r="J23" s="75">
        <f>Bilanca!K31</f>
        <v>969613</v>
      </c>
      <c r="K23" s="76">
        <f>Bilanca!L31</f>
        <v>1580992</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380</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377</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369</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368</v>
      </c>
      <c r="C28" s="27"/>
      <c r="D28" s="27" t="s">
        <v>2272</v>
      </c>
      <c r="E28" s="27">
        <v>1</v>
      </c>
      <c r="F28" s="27">
        <f>Bilanca!I36</f>
        <v>27</v>
      </c>
      <c r="G28" s="27">
        <f>IF(Bilanca!J36=0,"",Bilanca!J36)</f>
      </c>
      <c r="H28" s="224">
        <f t="shared" si="1"/>
        <v>30132</v>
      </c>
      <c r="I28" s="77">
        <f t="shared" si="2"/>
        <v>0</v>
      </c>
      <c r="J28" s="75">
        <f>Bilanca!K36</f>
        <v>37200</v>
      </c>
      <c r="K28" s="76">
        <f>Bilanca!L36</f>
        <v>37200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3080727.13</v>
      </c>
      <c r="I30" s="77">
        <f t="shared" si="2"/>
        <v>0</v>
      </c>
      <c r="J30" s="75">
        <f>Bilanca!K38</f>
        <v>6208057</v>
      </c>
      <c r="K30" s="76">
        <f>Bilanca!L38</f>
        <v>2207570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129765.07</v>
      </c>
      <c r="I32" s="77">
        <f t="shared" si="2"/>
        <v>0</v>
      </c>
      <c r="J32" s="75">
        <f>Bilanca!K40</f>
        <v>152097</v>
      </c>
      <c r="K32" s="76">
        <f>Bilanca!L40</f>
        <v>133250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3265472</v>
      </c>
      <c r="I33" s="27">
        <f t="shared" si="2"/>
        <v>0</v>
      </c>
      <c r="J33" s="75">
        <f>Bilanca!K41</f>
        <v>6055960</v>
      </c>
      <c r="K33" s="76">
        <f>Bilanca!L41</f>
        <v>2074320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11101034.01</v>
      </c>
      <c r="I34" s="77">
        <f t="shared" si="2"/>
        <v>0</v>
      </c>
      <c r="J34" s="75">
        <f>Bilanca!K42</f>
        <v>10058429</v>
      </c>
      <c r="K34" s="76">
        <f>Bilanca!L42</f>
        <v>11790534</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709058639.5799999</v>
      </c>
      <c r="I35" s="27">
        <f t="shared" si="2"/>
        <v>0</v>
      </c>
      <c r="J35" s="75">
        <f>Bilanca!K43</f>
        <v>724292639</v>
      </c>
      <c r="K35" s="76">
        <f>Bilanca!L43</f>
        <v>680586974</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11164223</v>
      </c>
      <c r="I36" s="77">
        <f t="shared" si="2"/>
        <v>0</v>
      </c>
      <c r="J36" s="75">
        <f>Bilanca!K44</f>
        <v>9396450</v>
      </c>
      <c r="K36" s="76">
        <f>Bilanca!L44</f>
        <v>11250665</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11483200.8</v>
      </c>
      <c r="I37" s="27">
        <f t="shared" si="2"/>
        <v>0</v>
      </c>
      <c r="J37" s="75">
        <f>Bilanca!K45</f>
        <v>9396450</v>
      </c>
      <c r="K37" s="76">
        <f>Bilanca!L45</f>
        <v>11250665</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MIRJANA MATAIJA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013039369</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013039382</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mirjana.mataija@janaf.hr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DRAGAN KOVAČEVIĆ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20130101</v>
      </c>
      <c r="C44" s="27"/>
      <c r="D44" s="27" t="s">
        <v>2272</v>
      </c>
      <c r="E44" s="27">
        <v>1</v>
      </c>
      <c r="F44" s="27">
        <f>Bilanca!I52</f>
        <v>43</v>
      </c>
      <c r="G44" s="27">
        <f>IF(Bilanca!J52=0,"",Bilanca!J52)</f>
      </c>
      <c r="H44" s="224">
        <f t="shared" si="1"/>
        <v>139406039.13</v>
      </c>
      <c r="I44" s="77">
        <f t="shared" si="2"/>
        <v>0</v>
      </c>
      <c r="J44" s="75">
        <f>Bilanca!K52</f>
        <v>111478427</v>
      </c>
      <c r="K44" s="76">
        <f>Bilanca!L52</f>
        <v>106360832</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13826778.239999998</v>
      </c>
      <c r="I45" s="27">
        <f aca="true" t="shared" si="4" ref="I45:I60">ABS(ROUND(J45,0)-J45)+ABS(ROUND(K45,0)-K45)</f>
        <v>0</v>
      </c>
      <c r="J45" s="75">
        <f>Bilanca!K53</f>
        <v>12230212</v>
      </c>
      <c r="K45" s="76">
        <f>Bilanca!L53</f>
        <v>9597142</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109782290.25</v>
      </c>
      <c r="I46" s="77">
        <f t="shared" si="4"/>
        <v>0</v>
      </c>
      <c r="J46" s="75">
        <f>Bilanca!K54</f>
        <v>70637555</v>
      </c>
      <c r="K46" s="76">
        <f>Bilanca!L54</f>
        <v>86661545</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95367.7</v>
      </c>
      <c r="I48" s="77">
        <f t="shared" si="4"/>
        <v>0</v>
      </c>
      <c r="J48" s="75">
        <f>Bilanca!K56</f>
        <v>168384</v>
      </c>
      <c r="K48" s="76">
        <f>Bilanca!L56</f>
        <v>17263</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DA</v>
      </c>
      <c r="C49" s="27"/>
      <c r="D49" s="27" t="s">
        <v>2272</v>
      </c>
      <c r="E49" s="27">
        <v>1</v>
      </c>
      <c r="F49" s="27">
        <f>Bilanca!I57</f>
        <v>48</v>
      </c>
      <c r="G49" s="27">
        <f>IF(Bilanca!J57=0,"",Bilanca!J57)</f>
      </c>
      <c r="H49" s="224">
        <f t="shared" si="3"/>
        <v>17755385.28</v>
      </c>
      <c r="I49" s="27">
        <f t="shared" si="4"/>
        <v>0</v>
      </c>
      <c r="J49" s="75">
        <f>Bilanca!K57</f>
        <v>23331614</v>
      </c>
      <c r="K49" s="76">
        <f>Bilanca!L57</f>
        <v>6829386</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5694610.460000001</v>
      </c>
      <c r="I50" s="77">
        <f t="shared" si="4"/>
        <v>0</v>
      </c>
      <c r="J50" s="75">
        <f>Bilanca!K58</f>
        <v>5110662</v>
      </c>
      <c r="K50" s="76">
        <f>Bilanca!L58</f>
        <v>3255496</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DA</v>
      </c>
      <c r="C51" s="27"/>
      <c r="D51" s="27" t="s">
        <v>2272</v>
      </c>
      <c r="E51" s="27">
        <v>1</v>
      </c>
      <c r="F51" s="27">
        <f>Bilanca!I59</f>
        <v>50</v>
      </c>
      <c r="G51" s="27">
        <f>IF(Bilanca!J59=0,"",Bilanca!J59)</f>
      </c>
      <c r="H51" s="224">
        <f t="shared" si="3"/>
        <v>565646973</v>
      </c>
      <c r="I51" s="27">
        <f t="shared" si="4"/>
        <v>0</v>
      </c>
      <c r="J51" s="75">
        <f>Bilanca!K59</f>
        <v>509533716</v>
      </c>
      <c r="K51" s="76">
        <f>Bilanca!L59</f>
        <v>310880115</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DA</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633524609.76</v>
      </c>
      <c r="I57" s="27">
        <f t="shared" si="4"/>
        <v>0</v>
      </c>
      <c r="J57" s="75">
        <f>Bilanca!K65</f>
        <v>509533716</v>
      </c>
      <c r="K57" s="76">
        <f>Bilanca!L65</f>
        <v>310880115</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65241694740.84002</v>
      </c>
      <c r="C59" s="27"/>
      <c r="D59" s="27" t="s">
        <v>2272</v>
      </c>
      <c r="E59" s="27">
        <v>1</v>
      </c>
      <c r="F59" s="27">
        <f>Bilanca!I67</f>
        <v>58</v>
      </c>
      <c r="G59" s="27">
        <f>IF(Bilanca!J67=0,"",Bilanca!J67)</f>
      </c>
      <c r="H59" s="224">
        <f t="shared" si="3"/>
        <v>346883366.6</v>
      </c>
      <c r="I59" s="27">
        <f t="shared" si="4"/>
        <v>0</v>
      </c>
      <c r="J59" s="75">
        <f>Bilanca!K67</f>
        <v>93884046</v>
      </c>
      <c r="K59" s="76">
        <f>Bilanca!L67</f>
        <v>252095362</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4</v>
      </c>
      <c r="C60" s="27"/>
      <c r="D60" s="27" t="s">
        <v>2272</v>
      </c>
      <c r="E60" s="27">
        <v>1</v>
      </c>
      <c r="F60" s="27">
        <f>Bilanca!I68</f>
        <v>59</v>
      </c>
      <c r="G60" s="27">
        <f>IF(Bilanca!J68=0,"",Bilanca!J68)</f>
      </c>
      <c r="H60" s="224">
        <f t="shared" si="3"/>
        <v>253561.35</v>
      </c>
      <c r="I60" s="77">
        <f t="shared" si="4"/>
        <v>0</v>
      </c>
      <c r="J60" s="75">
        <f>Bilanca!K68</f>
        <v>38859</v>
      </c>
      <c r="K60" s="76">
        <f>Bilanca!L68</f>
        <v>195453</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6562715116.200001</v>
      </c>
      <c r="I61" s="27">
        <f>ABS(ROUND(J61,0)-J61)+ABS(ROUND(K61,0)-K61)</f>
        <v>0</v>
      </c>
      <c r="J61" s="75">
        <f>Bilanca!K69</f>
        <v>3619822965</v>
      </c>
      <c r="K61" s="76">
        <f>Bilanca!L69</f>
        <v>3659017781</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DA</v>
      </c>
      <c r="C62" s="27"/>
      <c r="D62" s="27" t="s">
        <v>2272</v>
      </c>
      <c r="E62" s="27">
        <v>1</v>
      </c>
      <c r="F62" s="27">
        <f>Bilanca!I70</f>
        <v>61</v>
      </c>
      <c r="G62" s="27">
        <f>IF(Bilanca!J70=0,"",Bilanca!J70)</f>
      </c>
      <c r="H62" s="224">
        <f>J62/100*F62+2*K62/100*F62</f>
        <v>3915268768.51</v>
      </c>
      <c r="I62" s="77">
        <f>ABS(ROUND(J62,0)-J62)+ABS(ROUND(K62,0)-K62)</f>
        <v>0</v>
      </c>
      <c r="J62" s="75">
        <f>Bilanca!K70</f>
        <v>1784534819</v>
      </c>
      <c r="K62" s="76">
        <f>Bilanca!L70</f>
        <v>2316969286</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11686457780</v>
      </c>
      <c r="C63" s="27"/>
      <c r="D63" s="27" t="s">
        <v>2272</v>
      </c>
      <c r="E63" s="27">
        <v>1</v>
      </c>
      <c r="F63" s="27">
        <f>Bilanca!I72</f>
        <v>62</v>
      </c>
      <c r="G63" s="27">
        <f>IF(Bilanca!J72=0,"",Bilanca!J72)</f>
      </c>
      <c r="H63" s="224">
        <f>J63/100*F63+2*K63/100*F63</f>
        <v>6233758996.9</v>
      </c>
      <c r="I63" s="27">
        <f>ABS(ROUND(J63,0)-J63)+ABS(ROUND(K63,0)-K63)</f>
        <v>0</v>
      </c>
      <c r="J63" s="75">
        <f>Bilanca!K72</f>
        <v>3295444835</v>
      </c>
      <c r="K63" s="76">
        <f>Bilanca!L72</f>
        <v>3379502580</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5230954209.6</v>
      </c>
      <c r="I64" s="27">
        <f>ABS(ROUND(J64,0)-J64)+ABS(ROUND(K64,0)-K64)</f>
        <v>0</v>
      </c>
      <c r="J64" s="75">
        <f>Bilanca!K73</f>
        <v>2720676600</v>
      </c>
      <c r="K64" s="76">
        <f>Bilanca!L73</f>
        <v>2791212660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102883.20000000001</v>
      </c>
      <c r="I65" s="27">
        <f aca="true" t="shared" si="6" ref="I65:I98">ABS(ROUND(J65,0)-J65)+ABS(ROUND(K65,0)-K65)</f>
        <v>0</v>
      </c>
      <c r="J65" s="75">
        <f>Bilanca!K74</f>
        <v>53585</v>
      </c>
      <c r="K65" s="76">
        <f>Bilanca!L74</f>
        <v>53585</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520638548.95</v>
      </c>
      <c r="I66" s="27">
        <f t="shared" si="6"/>
        <v>0</v>
      </c>
      <c r="J66" s="75">
        <f>Bilanca!K75</f>
        <v>263799187</v>
      </c>
      <c r="K66" s="76">
        <f>Bilanca!L75</f>
        <v>268591598</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59078162.22</v>
      </c>
      <c r="I67" s="27">
        <f t="shared" si="6"/>
        <v>0</v>
      </c>
      <c r="J67" s="75">
        <f>Bilanca!K76</f>
        <v>26642515</v>
      </c>
      <c r="K67" s="76">
        <f>Bilanca!L76</f>
        <v>31434926</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498029011.20000005</v>
      </c>
      <c r="I71" s="27">
        <f t="shared" si="6"/>
        <v>0</v>
      </c>
      <c r="J71" s="75">
        <f>Bilanca!K80</f>
        <v>237156672</v>
      </c>
      <c r="K71" s="76">
        <f>Bilanca!L80</f>
        <v>237156672</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464550773.75999993</v>
      </c>
      <c r="I73" s="27">
        <f t="shared" si="6"/>
        <v>0</v>
      </c>
      <c r="J73" s="75">
        <f>Bilanca!K82</f>
        <v>215067256</v>
      </c>
      <c r="K73" s="76">
        <f>Bilanca!L82</f>
        <v>215071076</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471002867.84</v>
      </c>
      <c r="I74" s="27">
        <f t="shared" si="6"/>
        <v>0</v>
      </c>
      <c r="J74" s="75">
        <f>Bilanca!K83</f>
        <v>215067256</v>
      </c>
      <c r="K74" s="76">
        <f>Bilanca!L83</f>
        <v>215071076</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228746646.75</v>
      </c>
      <c r="I76" s="27">
        <f t="shared" si="6"/>
        <v>0</v>
      </c>
      <c r="J76" s="75">
        <f>Bilanca!K85</f>
        <v>95848207</v>
      </c>
      <c r="K76" s="76">
        <f>Bilanca!L85</f>
        <v>104573661</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231796602.04</v>
      </c>
      <c r="I77" s="27">
        <f t="shared" si="6"/>
        <v>0</v>
      </c>
      <c r="J77" s="75">
        <f>Bilanca!K86</f>
        <v>95848207</v>
      </c>
      <c r="K77" s="76">
        <f>Bilanca!L86</f>
        <v>104573661</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124716563.72</v>
      </c>
      <c r="I80" s="27">
        <f t="shared" si="6"/>
        <v>0</v>
      </c>
      <c r="J80" s="75">
        <f>Bilanca!K89</f>
        <v>53037602</v>
      </c>
      <c r="K80" s="76">
        <f>Bilanca!L89</f>
        <v>52415733</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25582871.2</v>
      </c>
      <c r="I81" s="27">
        <f t="shared" si="6"/>
        <v>0</v>
      </c>
      <c r="J81" s="75">
        <f>Bilanca!K90</f>
        <v>8873629</v>
      </c>
      <c r="K81" s="76">
        <f>Bilanca!L90</f>
        <v>11552480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103230192.78</v>
      </c>
      <c r="I83" s="27">
        <f t="shared" si="6"/>
        <v>0</v>
      </c>
      <c r="J83" s="75">
        <f>Bilanca!K92</f>
        <v>44163973</v>
      </c>
      <c r="K83" s="76">
        <f>Bilanca!L92</f>
        <v>40863253</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238786788.58</v>
      </c>
      <c r="I84" s="27">
        <f t="shared" si="6"/>
        <v>0</v>
      </c>
      <c r="J84" s="75">
        <f>Bilanca!K93</f>
        <v>94760964</v>
      </c>
      <c r="K84" s="76">
        <f>Bilanca!L93</f>
        <v>96466981</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247417636.36</v>
      </c>
      <c r="I87" s="27">
        <f t="shared" si="6"/>
        <v>0</v>
      </c>
      <c r="J87" s="75">
        <f>Bilanca!K96</f>
        <v>94760964</v>
      </c>
      <c r="K87" s="76">
        <f>Bilanca!L96</f>
        <v>96466981</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303346954.53</v>
      </c>
      <c r="I94" s="27">
        <f t="shared" si="6"/>
        <v>0</v>
      </c>
      <c r="J94" s="75">
        <f>Bilanca!K103</f>
        <v>142619473</v>
      </c>
      <c r="K94" s="76">
        <f>Bilanca!L103</f>
        <v>91780024</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782373.28</v>
      </c>
      <c r="I95" s="27">
        <f t="shared" si="6"/>
        <v>0</v>
      </c>
      <c r="J95" s="75">
        <f>Bilanca!K104</f>
        <v>325706</v>
      </c>
      <c r="K95" s="76">
        <f>Bilanca!L104</f>
        <v>253303</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286325753.28000003</v>
      </c>
      <c r="I99" s="27">
        <f aca="true" t="shared" si="9" ref="I99:I107">ABS(ROUND(J99,0)-J99)+ABS(ROUND(K99,0)-K99)</f>
        <v>0</v>
      </c>
      <c r="J99" s="75">
        <f>Bilanca!K108</f>
        <v>127790584</v>
      </c>
      <c r="K99" s="76">
        <f>Bilanca!L108</f>
        <v>82189276</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15040274.61</v>
      </c>
      <c r="I102" s="27">
        <f t="shared" si="9"/>
        <v>0</v>
      </c>
      <c r="J102" s="75">
        <f>Bilanca!K111</f>
        <v>5838903</v>
      </c>
      <c r="K102" s="76">
        <f>Bilanca!L111</f>
        <v>4526229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12771917.760000002</v>
      </c>
      <c r="I103" s="27">
        <f t="shared" si="9"/>
        <v>0</v>
      </c>
      <c r="J103" s="75">
        <f>Bilanca!K112</f>
        <v>4576072</v>
      </c>
      <c r="K103" s="76">
        <f>Bilanca!L112</f>
        <v>3972708</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98950.04000000001</v>
      </c>
      <c r="I104" s="27">
        <f t="shared" si="9"/>
        <v>0</v>
      </c>
      <c r="J104" s="75">
        <f>Bilanca!K113</f>
        <v>42016</v>
      </c>
      <c r="K104" s="76">
        <f>Bilanca!L113</f>
        <v>27026</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5952613.8</v>
      </c>
      <c r="I106" s="27">
        <f t="shared" si="9"/>
        <v>0</v>
      </c>
      <c r="J106" s="75">
        <f>Bilanca!K115</f>
        <v>4046192</v>
      </c>
      <c r="K106" s="76">
        <f>Bilanca!L115</f>
        <v>811482</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118364918.02000001</v>
      </c>
      <c r="I107" s="27">
        <f t="shared" si="9"/>
        <v>0</v>
      </c>
      <c r="J107" s="75">
        <f>Bilanca!K116</f>
        <v>33960091</v>
      </c>
      <c r="K107" s="76">
        <f>Bilanca!L116</f>
        <v>38852463</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11703508623.89</v>
      </c>
      <c r="I108" s="27">
        <f aca="true" t="shared" si="11" ref="I108:I113">ABS(ROUND(J108,0)-J108)+ABS(ROUND(K108,0)-K108)</f>
        <v>0</v>
      </c>
      <c r="J108" s="75">
        <f>Bilanca!K117</f>
        <v>3619822965</v>
      </c>
      <c r="K108" s="76">
        <f>Bilanca!L117</f>
        <v>3659017781</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6931951262.280001</v>
      </c>
      <c r="I109" s="27">
        <f t="shared" si="11"/>
        <v>0</v>
      </c>
      <c r="J109" s="75">
        <f>Bilanca!K118</f>
        <v>1784534819</v>
      </c>
      <c r="K109" s="76">
        <f>Bilanca!L118</f>
        <v>2316969286</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1510330406.64</v>
      </c>
      <c r="I112" s="27">
        <f t="shared" si="11"/>
        <v>0</v>
      </c>
      <c r="J112" s="75">
        <f>RDG!K9</f>
        <v>456227732</v>
      </c>
      <c r="K112" s="76">
        <f>RDG!L9</f>
        <v>452215146</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1402719721.76</v>
      </c>
      <c r="I113" s="27">
        <f t="shared" si="11"/>
        <v>0</v>
      </c>
      <c r="J113" s="75">
        <f>RDG!K10</f>
        <v>401058917</v>
      </c>
      <c r="K113" s="76">
        <f>RDG!L10</f>
        <v>425684703</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122299562.13</v>
      </c>
      <c r="I114" s="27">
        <f aca="true" t="shared" si="13" ref="I114:I158">ABS(ROUND(J114,0)-J114)+ABS(ROUND(K114,0)-K114)</f>
        <v>0</v>
      </c>
      <c r="J114" s="75">
        <f>RDG!K11</f>
        <v>55168815</v>
      </c>
      <c r="K114" s="76">
        <f>RDG!L11</f>
        <v>26530443</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1229750578.92</v>
      </c>
      <c r="I115" s="27">
        <f t="shared" si="13"/>
        <v>0</v>
      </c>
      <c r="J115" s="75">
        <f>RDG!K12</f>
        <v>376304488</v>
      </c>
      <c r="K115" s="76">
        <f>RDG!L12</f>
        <v>351212045</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204314360.04</v>
      </c>
      <c r="I117" s="27">
        <f t="shared" si="13"/>
        <v>0</v>
      </c>
      <c r="J117" s="75">
        <f>RDG!K14</f>
        <v>54991345</v>
      </c>
      <c r="K117" s="76">
        <f>RDG!L14</f>
        <v>60570862</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25366517.28</v>
      </c>
      <c r="I118" s="27">
        <f t="shared" si="13"/>
        <v>0</v>
      </c>
      <c r="J118" s="75">
        <f>RDG!K15</f>
        <v>8950812</v>
      </c>
      <c r="K118" s="76">
        <f>RDG!L15</f>
        <v>6364986</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183798219.15</v>
      </c>
      <c r="I120" s="27">
        <f t="shared" si="13"/>
        <v>0</v>
      </c>
      <c r="J120" s="75">
        <f>RDG!K17</f>
        <v>46040533</v>
      </c>
      <c r="K120" s="76">
        <f>RDG!L17</f>
        <v>54205876</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261725751.6</v>
      </c>
      <c r="I121" s="27">
        <f t="shared" si="13"/>
        <v>0</v>
      </c>
      <c r="J121" s="75">
        <f>RDG!K18</f>
        <v>74921817</v>
      </c>
      <c r="K121" s="76">
        <f>RDG!L18</f>
        <v>71591488</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145401823.16</v>
      </c>
      <c r="I122" s="27">
        <f t="shared" si="13"/>
        <v>0</v>
      </c>
      <c r="J122" s="75">
        <f>RDG!K19</f>
        <v>40950910</v>
      </c>
      <c r="K122" s="76">
        <f>RDG!L19</f>
        <v>39607943</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83679113.13999999</v>
      </c>
      <c r="I123" s="27">
        <f t="shared" si="13"/>
        <v>0</v>
      </c>
      <c r="J123" s="75">
        <f>RDG!K20</f>
        <v>23650921</v>
      </c>
      <c r="K123" s="76">
        <f>RDG!L20</f>
        <v>22469258</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36098728.8</v>
      </c>
      <c r="I124" s="27">
        <f t="shared" si="13"/>
        <v>0</v>
      </c>
      <c r="J124" s="75">
        <f>RDG!K21</f>
        <v>10319986</v>
      </c>
      <c r="K124" s="76">
        <f>RDG!L21</f>
        <v>9514287</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647537893.96</v>
      </c>
      <c r="I125" s="27">
        <f t="shared" si="13"/>
        <v>0</v>
      </c>
      <c r="J125" s="75">
        <f>RDG!K22</f>
        <v>173538533</v>
      </c>
      <c r="K125" s="76">
        <f>RDG!L22</f>
        <v>174334723</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120881230</v>
      </c>
      <c r="I126" s="27">
        <f t="shared" si="13"/>
        <v>0</v>
      </c>
      <c r="J126" s="75">
        <f>RDG!K23</f>
        <v>36828766</v>
      </c>
      <c r="K126" s="76">
        <f>RDG!L23</f>
        <v>29938109</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28051756.74</v>
      </c>
      <c r="I127" s="27">
        <f t="shared" si="13"/>
        <v>0</v>
      </c>
      <c r="J127" s="75">
        <f>RDG!K24</f>
        <v>93</v>
      </c>
      <c r="K127" s="76">
        <f>RDG!L24</f>
        <v>11131603</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28497022.72</v>
      </c>
      <c r="I129" s="27">
        <f t="shared" si="13"/>
        <v>0</v>
      </c>
      <c r="J129" s="75">
        <f>RDG!K26</f>
        <v>93</v>
      </c>
      <c r="K129" s="76">
        <f>RDG!L26</f>
        <v>11131603</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55875645.660000004</v>
      </c>
      <c r="I130" s="27">
        <f t="shared" si="13"/>
        <v>0</v>
      </c>
      <c r="J130" s="75">
        <f>RDG!K27</f>
        <v>36023934</v>
      </c>
      <c r="K130" s="76">
        <f>RDG!L27</f>
        <v>3645260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102963166.47</v>
      </c>
      <c r="I132" s="27">
        <f t="shared" si="13"/>
        <v>0</v>
      </c>
      <c r="J132" s="75">
        <f>RDG!K29</f>
        <v>31397229</v>
      </c>
      <c r="K132" s="76">
        <f>RDG!L29</f>
        <v>23600304</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188134.32</v>
      </c>
      <c r="I133" s="27">
        <f t="shared" si="13"/>
        <v>0</v>
      </c>
      <c r="J133" s="75">
        <f>RDG!K30</f>
        <v>39280</v>
      </c>
      <c r="K133" s="76">
        <f>RDG!L30</f>
        <v>51623</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104345563.63</v>
      </c>
      <c r="I134" s="27">
        <f t="shared" si="13"/>
        <v>0</v>
      </c>
      <c r="J134" s="75">
        <f>RDG!K31</f>
        <v>31357949</v>
      </c>
      <c r="K134" s="76">
        <f>RDG!L31</f>
        <v>23548681</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42820436.41</v>
      </c>
      <c r="I138" s="27">
        <f t="shared" si="13"/>
        <v>0</v>
      </c>
      <c r="J138" s="75">
        <f>RDG!K35</f>
        <v>8772457</v>
      </c>
      <c r="K138" s="76">
        <f>RDG!L35</f>
        <v>11241668</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43445552.269999996</v>
      </c>
      <c r="I140" s="27">
        <f t="shared" si="13"/>
        <v>0</v>
      </c>
      <c r="J140" s="75">
        <f>RDG!K37</f>
        <v>8772457</v>
      </c>
      <c r="K140" s="76">
        <f>RDG!L37</f>
        <v>11241668</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2101313557.06</v>
      </c>
      <c r="I147" s="27">
        <f t="shared" si="13"/>
        <v>0</v>
      </c>
      <c r="J147" s="75">
        <f>RDG!K44</f>
        <v>487624961</v>
      </c>
      <c r="K147" s="76">
        <f>RDG!L44</f>
        <v>475815450</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1631677025.37</v>
      </c>
      <c r="I148" s="27">
        <f t="shared" si="13"/>
        <v>0</v>
      </c>
      <c r="J148" s="75">
        <f>RDG!K45</f>
        <v>385076945</v>
      </c>
      <c r="K148" s="76">
        <f>RDG!L45</f>
        <v>362453713</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487321805.20000005</v>
      </c>
      <c r="I149" s="27">
        <f t="shared" si="13"/>
        <v>0</v>
      </c>
      <c r="J149" s="75">
        <f>RDG!K46</f>
        <v>102548016</v>
      </c>
      <c r="K149" s="76">
        <f>RDG!L46</f>
        <v>113361737</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490614520.1</v>
      </c>
      <c r="I150" s="27">
        <f t="shared" si="13"/>
        <v>0</v>
      </c>
      <c r="J150" s="75">
        <f>RDG!K47</f>
        <v>102548016</v>
      </c>
      <c r="K150" s="76">
        <f>RDG!L47</f>
        <v>113361737</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36656701.11</v>
      </c>
      <c r="I152" s="27">
        <f t="shared" si="13"/>
        <v>0</v>
      </c>
      <c r="J152" s="75">
        <f>RDG!K49</f>
        <v>6699809</v>
      </c>
      <c r="K152" s="76">
        <f>RDG!L49</f>
        <v>8788076</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463593204.08</v>
      </c>
      <c r="I153" s="27">
        <f t="shared" si="13"/>
        <v>0</v>
      </c>
      <c r="J153" s="75">
        <f>RDG!K50</f>
        <v>95848207</v>
      </c>
      <c r="K153" s="76">
        <f>RDG!L50</f>
        <v>104573661</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466643159.36999995</v>
      </c>
      <c r="I154" s="27">
        <f t="shared" si="13"/>
        <v>0</v>
      </c>
      <c r="J154" s="75">
        <f>RDG!K51</f>
        <v>95848207</v>
      </c>
      <c r="K154" s="76">
        <f>RDG!L51</f>
        <v>104573661</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478842980.53</v>
      </c>
      <c r="I158" s="27">
        <f t="shared" si="13"/>
        <v>0</v>
      </c>
      <c r="J158" s="75">
        <f>RDG!K58</f>
        <v>95848207</v>
      </c>
      <c r="K158" s="76">
        <f>RDG!L58</f>
        <v>104573661</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512392488.71999997</v>
      </c>
      <c r="I169" s="27">
        <f t="shared" si="15"/>
        <v>0</v>
      </c>
      <c r="J169" s="75">
        <f>RDG!K69</f>
        <v>95848207</v>
      </c>
      <c r="K169" s="76">
        <f>RDG!L69</f>
        <v>104573661</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3292714.9000000004</v>
      </c>
      <c r="I304" s="27">
        <f aca="true" t="shared" si="23" ref="I304:I347">ABS(ROUND(J304,0)-J304)+ABS(ROUND(K304,0)-K304)</f>
        <v>0</v>
      </c>
      <c r="J304" s="75">
        <f>NT_I!K10</f>
        <v>102548016</v>
      </c>
      <c r="K304" s="76">
        <f>NT_I!L10</f>
        <v>113361737</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10444159.58</v>
      </c>
      <c r="I305" s="27">
        <f t="shared" si="23"/>
        <v>0</v>
      </c>
      <c r="J305" s="75">
        <f>NT_I!K11</f>
        <v>173538533</v>
      </c>
      <c r="K305" s="76">
        <f>NT_I!L11</f>
        <v>174334723</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170525.94</v>
      </c>
      <c r="I306" s="27">
        <f t="shared" si="23"/>
        <v>0</v>
      </c>
      <c r="J306" s="75">
        <f>NT_I!K12</f>
        <v>5684198</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45551.7</v>
      </c>
      <c r="I308" s="27">
        <f t="shared" si="23"/>
        <v>0</v>
      </c>
      <c r="J308" s="75">
        <f>NT_I!K14</f>
        <v>911034</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60065229.07</v>
      </c>
      <c r="I310" s="27">
        <f t="shared" si="23"/>
        <v>0</v>
      </c>
      <c r="J310" s="75">
        <f>NT_I!K16</f>
        <v>282681781</v>
      </c>
      <c r="K310" s="76">
        <f>NT_I!L16</f>
        <v>287696460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7351532.32</v>
      </c>
      <c r="I311" s="27">
        <f t="shared" si="23"/>
        <v>0</v>
      </c>
      <c r="J311" s="75">
        <f>NT_I!K17</f>
        <v>0</v>
      </c>
      <c r="K311" s="76">
        <f>NT_I!L17</f>
        <v>45947077</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7786990.350000001</v>
      </c>
      <c r="I312" s="27">
        <f t="shared" si="23"/>
        <v>0</v>
      </c>
      <c r="J312" s="75">
        <f>NT_I!K18</f>
        <v>52285087</v>
      </c>
      <c r="K312" s="76">
        <f>NT_I!L18</f>
        <v>17118514</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370843</v>
      </c>
      <c r="I313" s="27">
        <f t="shared" si="23"/>
        <v>0</v>
      </c>
      <c r="J313" s="75">
        <f>NT_I!K19</f>
        <v>0</v>
      </c>
      <c r="K313" s="76">
        <f>NT_I!L19</f>
        <v>1854215</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1868969.08</v>
      </c>
      <c r="I314" s="27">
        <f t="shared" si="23"/>
        <v>0</v>
      </c>
      <c r="J314" s="75">
        <f>NT_I!K20</f>
        <v>4532620</v>
      </c>
      <c r="K314" s="76">
        <f>NT_I!L20</f>
        <v>6229004</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23893839.24</v>
      </c>
      <c r="I315" s="27">
        <f t="shared" si="23"/>
        <v>0</v>
      </c>
      <c r="J315" s="75">
        <f>NT_I!K21</f>
        <v>56817707</v>
      </c>
      <c r="K315" s="76">
        <f>NT_I!L21</f>
        <v>71148810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85664718.62</v>
      </c>
      <c r="I316" s="27">
        <f t="shared" si="23"/>
        <v>0</v>
      </c>
      <c r="J316" s="75">
        <f>NT_I!K22</f>
        <v>225864074</v>
      </c>
      <c r="K316" s="76">
        <f>NT_I!L22</f>
        <v>216547650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86413.2</v>
      </c>
      <c r="I318" s="27">
        <f t="shared" si="23"/>
        <v>0</v>
      </c>
      <c r="J318" s="75">
        <f>NT_I!K25</f>
        <v>181884</v>
      </c>
      <c r="K318" s="76">
        <f>NT_I!L25</f>
        <v>197102</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11283889.399999999</v>
      </c>
      <c r="I320" s="27">
        <f t="shared" si="23"/>
        <v>0</v>
      </c>
      <c r="J320" s="75">
        <f>NT_I!K27</f>
        <v>25723268</v>
      </c>
      <c r="K320" s="76">
        <f>NT_I!L27</f>
        <v>20326276</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75250897.26</v>
      </c>
      <c r="I322" s="27">
        <f t="shared" si="23"/>
        <v>0</v>
      </c>
      <c r="J322" s="75">
        <f>NT_I!K29</f>
        <v>0</v>
      </c>
      <c r="K322" s="76">
        <f>NT_I!L29</f>
        <v>198028677</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92601852.4</v>
      </c>
      <c r="I323" s="27">
        <f t="shared" si="23"/>
        <v>0</v>
      </c>
      <c r="J323" s="75">
        <f>NT_I!K30</f>
        <v>25905152</v>
      </c>
      <c r="K323" s="76">
        <f>NT_I!L30</f>
        <v>218552055</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172226054.28</v>
      </c>
      <c r="I324" s="27">
        <f t="shared" si="23"/>
        <v>0</v>
      </c>
      <c r="J324" s="75">
        <f>NT_I!K31</f>
        <v>307409104</v>
      </c>
      <c r="K324" s="76">
        <f>NT_I!L31</f>
        <v>256357482</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27786956.42</v>
      </c>
      <c r="I326" s="27">
        <f t="shared" si="23"/>
        <v>0</v>
      </c>
      <c r="J326" s="75">
        <f>NT_I!K33</f>
        <v>120812854</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225824861.27999997</v>
      </c>
      <c r="I327" s="27">
        <f t="shared" si="23"/>
        <v>0</v>
      </c>
      <c r="J327" s="75">
        <f>NT_I!K34</f>
        <v>428221958</v>
      </c>
      <c r="K327" s="76">
        <f>NT_I!L34</f>
        <v>256357482</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124261191.6</v>
      </c>
      <c r="I329" s="27">
        <f t="shared" si="23"/>
        <v>0</v>
      </c>
      <c r="J329" s="75">
        <f>NT_I!K36</f>
        <v>402316806</v>
      </c>
      <c r="K329" s="76">
        <f>NT_I!L36</f>
        <v>37805427</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13139780.48</v>
      </c>
      <c r="I335" s="27">
        <f t="shared" si="23"/>
        <v>0</v>
      </c>
      <c r="J335" s="75">
        <f>NT_I!K43</f>
        <v>0</v>
      </c>
      <c r="K335" s="76">
        <f>NT_I!L43</f>
        <v>20530907</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14782253.040000001</v>
      </c>
      <c r="I339" s="27">
        <f t="shared" si="23"/>
        <v>0</v>
      </c>
      <c r="J339" s="75">
        <f>NT_I!K47</f>
        <v>0</v>
      </c>
      <c r="K339" s="76">
        <f>NT_I!L47</f>
        <v>20530907</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15603489.32</v>
      </c>
      <c r="I341" s="27">
        <f t="shared" si="23"/>
        <v>0</v>
      </c>
      <c r="J341" s="75">
        <f>NT_I!K49</f>
        <v>0</v>
      </c>
      <c r="K341" s="76">
        <f>NT_I!L49</f>
        <v>20530907</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123404826.47999999</v>
      </c>
      <c r="I342" s="27">
        <f t="shared" si="23"/>
        <v>0</v>
      </c>
      <c r="J342" s="75">
        <f>NT_I!K50</f>
        <v>0</v>
      </c>
      <c r="K342" s="76">
        <f>NT_I!L50</f>
        <v>158211316</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70581092.8</v>
      </c>
      <c r="I343" s="27">
        <f t="shared" si="23"/>
        <v>0</v>
      </c>
      <c r="J343" s="75">
        <f>NT_I!K51</f>
        <v>176452732</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187822996.7</v>
      </c>
      <c r="I344" s="27">
        <f t="shared" si="23"/>
        <v>0</v>
      </c>
      <c r="J344" s="75">
        <f>NT_I!K52</f>
        <v>270336778</v>
      </c>
      <c r="K344" s="76">
        <f>NT_I!L52</f>
        <v>93884046</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132897505.44</v>
      </c>
      <c r="I345" s="27">
        <f t="shared" si="23"/>
        <v>0</v>
      </c>
      <c r="J345" s="75">
        <f>NT_I!K53</f>
        <v>0</v>
      </c>
      <c r="K345" s="76">
        <f>NT_I!L53</f>
        <v>158211316</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75874674.76</v>
      </c>
      <c r="I346" s="27">
        <f t="shared" si="23"/>
        <v>0</v>
      </c>
      <c r="J346" s="75">
        <f>NT_I!K54</f>
        <v>176452732</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263152898.8</v>
      </c>
      <c r="I347" s="27">
        <f t="shared" si="23"/>
        <v>0</v>
      </c>
      <c r="J347" s="75">
        <f>NT_I!K55</f>
        <v>93884046</v>
      </c>
      <c r="K347" s="76">
        <f>NT_I!L55</f>
        <v>252095362</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01.01.2013. do 31.12.2013.</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03334171; JADRANSKI NAFTOVOD D.D.</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I14:J14"/>
    <mergeCell ref="D15:H15"/>
    <mergeCell ref="I15:J15"/>
    <mergeCell ref="B12:C12"/>
    <mergeCell ref="A1:B2"/>
    <mergeCell ref="I8:J8"/>
    <mergeCell ref="D8:H8"/>
    <mergeCell ref="B8:C8"/>
    <mergeCell ref="A7:A8"/>
    <mergeCell ref="A3:K3"/>
    <mergeCell ref="I7:J7"/>
    <mergeCell ref="A5:K5"/>
    <mergeCell ref="D7:H7"/>
    <mergeCell ref="B7:C7"/>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B19:C19"/>
    <mergeCell ref="D19:H19"/>
    <mergeCell ref="I19:J19"/>
    <mergeCell ref="B20:C20"/>
    <mergeCell ref="D20:H20"/>
    <mergeCell ref="I20:J20"/>
    <mergeCell ref="B18:C18"/>
    <mergeCell ref="D18:H18"/>
    <mergeCell ref="D16:H16"/>
    <mergeCell ref="I18:J18"/>
    <mergeCell ref="B23:C23"/>
    <mergeCell ref="D23:H23"/>
    <mergeCell ref="I23:J23"/>
    <mergeCell ref="B24:C24"/>
    <mergeCell ref="D24:H24"/>
    <mergeCell ref="I24:J24"/>
    <mergeCell ref="B21:C21"/>
    <mergeCell ref="D21:H21"/>
    <mergeCell ref="I21:J21"/>
    <mergeCell ref="B22:C22"/>
    <mergeCell ref="D22:H22"/>
    <mergeCell ref="I22:J22"/>
    <mergeCell ref="B27:C27"/>
    <mergeCell ref="D27:H27"/>
    <mergeCell ref="I27:J27"/>
    <mergeCell ref="B28:C28"/>
    <mergeCell ref="D28:H28"/>
    <mergeCell ref="I28:J28"/>
    <mergeCell ref="B25:C25"/>
    <mergeCell ref="D25:H25"/>
    <mergeCell ref="I25:J25"/>
    <mergeCell ref="B26:C26"/>
    <mergeCell ref="D26:H26"/>
    <mergeCell ref="I26:J26"/>
    <mergeCell ref="B31:C31"/>
    <mergeCell ref="D31:H31"/>
    <mergeCell ref="I31:J31"/>
    <mergeCell ref="B32:C32"/>
    <mergeCell ref="D32:H32"/>
    <mergeCell ref="I32:J32"/>
    <mergeCell ref="B29:C29"/>
    <mergeCell ref="D29:H29"/>
    <mergeCell ref="I29:J29"/>
    <mergeCell ref="B30:C30"/>
    <mergeCell ref="D30:H30"/>
    <mergeCell ref="I30:J30"/>
    <mergeCell ref="B35:C35"/>
    <mergeCell ref="D35:H35"/>
    <mergeCell ref="I35:J35"/>
    <mergeCell ref="B36:C36"/>
    <mergeCell ref="D36:H36"/>
    <mergeCell ref="I36:J36"/>
    <mergeCell ref="B33:C33"/>
    <mergeCell ref="D33:H33"/>
    <mergeCell ref="I33:J33"/>
    <mergeCell ref="B34:C34"/>
    <mergeCell ref="D34:H34"/>
    <mergeCell ref="I34:J34"/>
    <mergeCell ref="B39:C39"/>
    <mergeCell ref="D39:H39"/>
    <mergeCell ref="I39:J39"/>
    <mergeCell ref="B40:C40"/>
    <mergeCell ref="D40:H40"/>
    <mergeCell ref="I40:J40"/>
    <mergeCell ref="B37:C37"/>
    <mergeCell ref="D37:H37"/>
    <mergeCell ref="I37:J37"/>
    <mergeCell ref="B38:C38"/>
    <mergeCell ref="D38:H38"/>
    <mergeCell ref="I38:J38"/>
    <mergeCell ref="B43:C43"/>
    <mergeCell ref="D43:H43"/>
    <mergeCell ref="I43:J43"/>
    <mergeCell ref="B44:C44"/>
    <mergeCell ref="D44:H44"/>
    <mergeCell ref="I44:J44"/>
    <mergeCell ref="B41:C41"/>
    <mergeCell ref="D41:H41"/>
    <mergeCell ref="I41:J41"/>
    <mergeCell ref="B42:C42"/>
    <mergeCell ref="D42:H42"/>
    <mergeCell ref="I42:J42"/>
    <mergeCell ref="B47:C47"/>
    <mergeCell ref="D47:H47"/>
    <mergeCell ref="I47:J47"/>
    <mergeCell ref="B48:C48"/>
    <mergeCell ref="D48:H48"/>
    <mergeCell ref="I48:J48"/>
    <mergeCell ref="B45:C45"/>
    <mergeCell ref="D45:H45"/>
    <mergeCell ref="I45:J45"/>
    <mergeCell ref="B46:C46"/>
    <mergeCell ref="D46:H46"/>
    <mergeCell ref="I46:J46"/>
    <mergeCell ref="B51:C51"/>
    <mergeCell ref="D51:H51"/>
    <mergeCell ref="I51:J51"/>
    <mergeCell ref="B52:C52"/>
    <mergeCell ref="D52:H52"/>
    <mergeCell ref="I52:J52"/>
    <mergeCell ref="B49:C49"/>
    <mergeCell ref="D49:H49"/>
    <mergeCell ref="I49:J49"/>
    <mergeCell ref="B50:C50"/>
    <mergeCell ref="D50:H50"/>
    <mergeCell ref="I50:J50"/>
    <mergeCell ref="B55:C55"/>
    <mergeCell ref="D55:H55"/>
    <mergeCell ref="I55:J55"/>
    <mergeCell ref="B56:C56"/>
    <mergeCell ref="D56:H56"/>
    <mergeCell ref="I56:J56"/>
    <mergeCell ref="B53:C53"/>
    <mergeCell ref="D53:H53"/>
    <mergeCell ref="I53:J53"/>
    <mergeCell ref="B54:C54"/>
    <mergeCell ref="D54:H54"/>
    <mergeCell ref="I54:J54"/>
    <mergeCell ref="B59:C59"/>
    <mergeCell ref="D59:H59"/>
    <mergeCell ref="I59:J59"/>
    <mergeCell ref="B60:C60"/>
    <mergeCell ref="D60:H60"/>
    <mergeCell ref="I60:J60"/>
    <mergeCell ref="B57:C57"/>
    <mergeCell ref="D57:H57"/>
    <mergeCell ref="I57:J57"/>
    <mergeCell ref="B58:C58"/>
    <mergeCell ref="D58:H58"/>
    <mergeCell ref="I58:J58"/>
    <mergeCell ref="B63:C63"/>
    <mergeCell ref="D63:H63"/>
    <mergeCell ref="I63:J63"/>
    <mergeCell ref="B64:C64"/>
    <mergeCell ref="D64:H64"/>
    <mergeCell ref="I64:J64"/>
    <mergeCell ref="B61:C61"/>
    <mergeCell ref="D61:H61"/>
    <mergeCell ref="I61:J61"/>
    <mergeCell ref="B62:C62"/>
    <mergeCell ref="D62:H62"/>
    <mergeCell ref="I62:J62"/>
    <mergeCell ref="B67:C67"/>
    <mergeCell ref="D67:H67"/>
    <mergeCell ref="I67:J67"/>
    <mergeCell ref="B68:C68"/>
    <mergeCell ref="D68:H68"/>
    <mergeCell ref="I68:J68"/>
    <mergeCell ref="B65:C65"/>
    <mergeCell ref="D65:H65"/>
    <mergeCell ref="I65:J65"/>
    <mergeCell ref="B66:C66"/>
    <mergeCell ref="D66:H66"/>
    <mergeCell ref="I66:J66"/>
    <mergeCell ref="B71:C71"/>
    <mergeCell ref="D71:H71"/>
    <mergeCell ref="I71:J71"/>
    <mergeCell ref="B72:C72"/>
    <mergeCell ref="D72:H72"/>
    <mergeCell ref="I72:J72"/>
    <mergeCell ref="B69:C69"/>
    <mergeCell ref="D69:H69"/>
    <mergeCell ref="I69:J69"/>
    <mergeCell ref="B70:C70"/>
    <mergeCell ref="D70:H70"/>
    <mergeCell ref="I70:J70"/>
    <mergeCell ref="B75:C75"/>
    <mergeCell ref="D75:H75"/>
    <mergeCell ref="I75:J75"/>
    <mergeCell ref="B76:C76"/>
    <mergeCell ref="D76:H76"/>
    <mergeCell ref="I76:J76"/>
    <mergeCell ref="B73:C73"/>
    <mergeCell ref="D73:H73"/>
    <mergeCell ref="I73:J73"/>
    <mergeCell ref="B74:C74"/>
    <mergeCell ref="D74:H74"/>
    <mergeCell ref="I74:J74"/>
    <mergeCell ref="B79:C79"/>
    <mergeCell ref="D79:H79"/>
    <mergeCell ref="I79:J79"/>
    <mergeCell ref="B80:C80"/>
    <mergeCell ref="D80:H80"/>
    <mergeCell ref="I80:J80"/>
    <mergeCell ref="B77:C77"/>
    <mergeCell ref="D77:H77"/>
    <mergeCell ref="I77:J77"/>
    <mergeCell ref="B78:C78"/>
    <mergeCell ref="D78:H78"/>
    <mergeCell ref="I78:J78"/>
    <mergeCell ref="B83:C83"/>
    <mergeCell ref="D83:H83"/>
    <mergeCell ref="I83:J83"/>
    <mergeCell ref="B84:C84"/>
    <mergeCell ref="D84:H84"/>
    <mergeCell ref="I84:J84"/>
    <mergeCell ref="B81:C81"/>
    <mergeCell ref="D81:H81"/>
    <mergeCell ref="I81:J81"/>
    <mergeCell ref="B82:C82"/>
    <mergeCell ref="D82:H82"/>
    <mergeCell ref="I82:J82"/>
    <mergeCell ref="B87:C87"/>
    <mergeCell ref="D87:H87"/>
    <mergeCell ref="I87:J87"/>
    <mergeCell ref="B88:C88"/>
    <mergeCell ref="D88:H88"/>
    <mergeCell ref="I88:J88"/>
    <mergeCell ref="B85:C85"/>
    <mergeCell ref="D85:H85"/>
    <mergeCell ref="I85:J85"/>
    <mergeCell ref="B86:C86"/>
    <mergeCell ref="D86:H86"/>
    <mergeCell ref="I86:J86"/>
    <mergeCell ref="B91:C91"/>
    <mergeCell ref="D91:H91"/>
    <mergeCell ref="I91:J91"/>
    <mergeCell ref="B92:C92"/>
    <mergeCell ref="D92:H92"/>
    <mergeCell ref="I92:J92"/>
    <mergeCell ref="B89:C89"/>
    <mergeCell ref="D89:H89"/>
    <mergeCell ref="I89:J89"/>
    <mergeCell ref="B90:C90"/>
    <mergeCell ref="D90:H90"/>
    <mergeCell ref="I90:J90"/>
    <mergeCell ref="B95:C95"/>
    <mergeCell ref="D95:H95"/>
    <mergeCell ref="I95:J95"/>
    <mergeCell ref="B96:C96"/>
    <mergeCell ref="D96:H96"/>
    <mergeCell ref="I96:J96"/>
    <mergeCell ref="B93:C93"/>
    <mergeCell ref="D93:H93"/>
    <mergeCell ref="I93:J93"/>
    <mergeCell ref="B94:C94"/>
    <mergeCell ref="D94:H94"/>
    <mergeCell ref="I94:J94"/>
    <mergeCell ref="B99:C99"/>
    <mergeCell ref="D99:H99"/>
    <mergeCell ref="I99:J99"/>
    <mergeCell ref="B100:C100"/>
    <mergeCell ref="D100:H100"/>
    <mergeCell ref="I100:J100"/>
    <mergeCell ref="B97:C97"/>
    <mergeCell ref="D97:H97"/>
    <mergeCell ref="I97:J97"/>
    <mergeCell ref="B98:C98"/>
    <mergeCell ref="D98:H98"/>
    <mergeCell ref="I98:J98"/>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19"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1</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1</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1</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3, a upisana veličina je 3</v>
      </c>
      <c r="D55" s="632"/>
      <c r="E55" s="632"/>
      <c r="F55" s="632"/>
      <c r="G55" s="632"/>
      <c r="H55" s="632"/>
      <c r="I55" s="632"/>
      <c r="J55" s="632"/>
      <c r="L55" s="35">
        <f>IF(Opci!C47=M55,0,1)</f>
        <v>0</v>
      </c>
      <c r="M55" s="131">
        <f>1+N55+O55</f>
        <v>3</v>
      </c>
      <c r="N55" s="132">
        <f>IF(Q55+R55+S55&gt;1,1,0)</f>
        <v>1</v>
      </c>
      <c r="O55" s="133">
        <f>IF(U55+V55+W55&gt;1,1,0)</f>
        <v>1</v>
      </c>
      <c r="P55" s="37" t="s">
        <v>1829</v>
      </c>
      <c r="Q55" s="38">
        <f>IF(Bilanca!K69&gt;32500000,1,0)</f>
        <v>1</v>
      </c>
      <c r="R55" s="38">
        <f>IF(RDG!K44&gt;65000000,1,0)</f>
        <v>1</v>
      </c>
      <c r="S55" s="39">
        <f>IF(Opci!C53&gt;50,1,0)</f>
        <v>1</v>
      </c>
      <c r="T55" s="40" t="s">
        <v>1830</v>
      </c>
      <c r="U55" s="41">
        <f>IF(Bilanca!K69&gt;130000000,1,0)</f>
        <v>1</v>
      </c>
      <c r="V55" s="41">
        <f>IF(RDG!K44&gt;260000000,1,0)</f>
        <v>1</v>
      </c>
      <c r="W55" s="42">
        <f>IF(Opci!C53&gt;250,1,0)</f>
        <v>1</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JANAF@JANAF.HR</v>
      </c>
      <c r="N59" s="201" t="str">
        <f>UPPER(TRIM(Opci!C69))</f>
        <v>MIRJANA.MATAIJA@JANAF.HR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D:\Dokumenti\izvjestaji\2013\I-XII revidirani 2013\ZADNJE VERZIJE KOMPLET\[GFI-POD janaf 2013.xls]Opci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1" t="s">
        <v>2847</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2.9372496662216285</v>
      </c>
      <c r="P92">
        <f>IF(Opci!E53+Opci!E55&gt;20,ABS(Opci!E53-Opci!E55)/(Opci!E53+Opci!E55)*200,0)</f>
        <v>2.4161073825503356</v>
      </c>
      <c r="Q92">
        <f>IF(Opci!C53+Opci!E53&gt;20,ABS(Opci!C53-Opci!E53)/(Opci!C53+Opci!E53)*200,0)</f>
        <v>0.7926023778071334</v>
      </c>
      <c r="R92">
        <f>IF(Opci!C55+Opci!E55,ABS(Opci!C55-Opci!E55)/(Opci!C55+Opci!E55)*200,0)</f>
        <v>0.27137042062415195</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35:J35"/>
    <mergeCell ref="C40:J40"/>
    <mergeCell ref="C37:J37"/>
    <mergeCell ref="C23:J23"/>
    <mergeCell ref="C61:J61"/>
    <mergeCell ref="C49:J49"/>
    <mergeCell ref="C62:J62"/>
    <mergeCell ref="C43:J43"/>
    <mergeCell ref="C58:J58"/>
    <mergeCell ref="C57:J57"/>
    <mergeCell ref="C47:J47"/>
    <mergeCell ref="C46:J46"/>
    <mergeCell ref="C39:J39"/>
    <mergeCell ref="C48:J48"/>
    <mergeCell ref="C26:J26"/>
    <mergeCell ref="C32:J32"/>
    <mergeCell ref="C33:J33"/>
    <mergeCell ref="C34:J34"/>
    <mergeCell ref="C90:J90"/>
    <mergeCell ref="C50:J50"/>
    <mergeCell ref="C51:J51"/>
    <mergeCell ref="C52:J52"/>
    <mergeCell ref="C54:J54"/>
    <mergeCell ref="C83:J83"/>
    <mergeCell ref="C60:J60"/>
    <mergeCell ref="C59:J59"/>
    <mergeCell ref="A56:J56"/>
    <mergeCell ref="C55:J55"/>
    <mergeCell ref="C80:J80"/>
    <mergeCell ref="C79:J79"/>
    <mergeCell ref="C63:J63"/>
    <mergeCell ref="A1:B2"/>
    <mergeCell ref="C3:J3"/>
    <mergeCell ref="A3:B3"/>
    <mergeCell ref="C8:J8"/>
    <mergeCell ref="C6:J6"/>
    <mergeCell ref="C7:J7"/>
    <mergeCell ref="A4:J4"/>
    <mergeCell ref="C5:J5"/>
    <mergeCell ref="C84:J84"/>
    <mergeCell ref="C10:J10"/>
    <mergeCell ref="C16:J16"/>
    <mergeCell ref="C11:J11"/>
    <mergeCell ref="C18:J18"/>
    <mergeCell ref="C12:J12"/>
    <mergeCell ref="C14:J14"/>
    <mergeCell ref="C20:J20"/>
    <mergeCell ref="C42:J42"/>
    <mergeCell ref="C44:J44"/>
    <mergeCell ref="C25:J25"/>
    <mergeCell ref="C27:J27"/>
    <mergeCell ref="C22:J22"/>
    <mergeCell ref="C31:J31"/>
    <mergeCell ref="C38:J38"/>
    <mergeCell ref="C36:J36"/>
    <mergeCell ref="C78:J78"/>
    <mergeCell ref="C66:J66"/>
    <mergeCell ref="C76:J76"/>
    <mergeCell ref="C65:J65"/>
    <mergeCell ref="C53:J53"/>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21:J21"/>
    <mergeCell ref="C89:J89"/>
    <mergeCell ref="C9:J9"/>
    <mergeCell ref="C13:J13"/>
    <mergeCell ref="C30:J30"/>
    <mergeCell ref="C24:J24"/>
    <mergeCell ref="C15:J15"/>
    <mergeCell ref="C17:J17"/>
    <mergeCell ref="C19:J19"/>
    <mergeCell ref="C28:J28"/>
    <mergeCell ref="C29:J29"/>
    <mergeCell ref="C64:J64"/>
    <mergeCell ref="C41:J41"/>
    <mergeCell ref="C45:J45"/>
    <mergeCell ref="C87:J87"/>
    <mergeCell ref="C88:J8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B9:J9"/>
    <mergeCell ref="B10:J10"/>
    <mergeCell ref="B11:J11"/>
    <mergeCell ref="B12:J12"/>
    <mergeCell ref="A3:J3"/>
    <mergeCell ref="B5:J5"/>
    <mergeCell ref="B7:J7"/>
    <mergeCell ref="B8:J8"/>
    <mergeCell ref="B4:J4"/>
    <mergeCell ref="B6:J6"/>
    <mergeCell ref="B21:J21"/>
    <mergeCell ref="B22:J22"/>
    <mergeCell ref="B23:J23"/>
    <mergeCell ref="B24:J24"/>
    <mergeCell ref="B17:J17"/>
    <mergeCell ref="B18:J18"/>
    <mergeCell ref="B19:J19"/>
    <mergeCell ref="B20:J20"/>
    <mergeCell ref="B13:J13"/>
    <mergeCell ref="B14:J14"/>
    <mergeCell ref="B15:J15"/>
    <mergeCell ref="B16:J16"/>
    <mergeCell ref="B33:J33"/>
    <mergeCell ref="B34:J34"/>
    <mergeCell ref="B35:J35"/>
    <mergeCell ref="B36:J36"/>
    <mergeCell ref="B29:J29"/>
    <mergeCell ref="B30:J30"/>
    <mergeCell ref="B31:J31"/>
    <mergeCell ref="B32:J32"/>
    <mergeCell ref="B25:J25"/>
    <mergeCell ref="B26:J26"/>
    <mergeCell ref="B27:J27"/>
    <mergeCell ref="B28:J28"/>
    <mergeCell ref="B45:J45"/>
    <mergeCell ref="B46:J46"/>
    <mergeCell ref="B47:J47"/>
    <mergeCell ref="B48:J48"/>
    <mergeCell ref="B41:J41"/>
    <mergeCell ref="B42:J42"/>
    <mergeCell ref="B43:J43"/>
    <mergeCell ref="B44:J44"/>
    <mergeCell ref="B37:J37"/>
    <mergeCell ref="B38:J38"/>
    <mergeCell ref="B39:J39"/>
    <mergeCell ref="B40:J40"/>
    <mergeCell ref="B57:J57"/>
    <mergeCell ref="B58:J58"/>
    <mergeCell ref="B59:J59"/>
    <mergeCell ref="B60:J60"/>
    <mergeCell ref="B53:J53"/>
    <mergeCell ref="B54:J54"/>
    <mergeCell ref="B55:J55"/>
    <mergeCell ref="B56:J56"/>
    <mergeCell ref="B49:J49"/>
    <mergeCell ref="B50:J50"/>
    <mergeCell ref="B51:J51"/>
    <mergeCell ref="B52:J52"/>
    <mergeCell ref="B69:J69"/>
    <mergeCell ref="B70:J70"/>
    <mergeCell ref="B71:J71"/>
    <mergeCell ref="B72:J72"/>
    <mergeCell ref="B65:J65"/>
    <mergeCell ref="B66:J66"/>
    <mergeCell ref="B67:J67"/>
    <mergeCell ref="B68:J68"/>
    <mergeCell ref="B61:J61"/>
    <mergeCell ref="B62:J62"/>
    <mergeCell ref="B63:J63"/>
    <mergeCell ref="B64:J64"/>
    <mergeCell ref="B81:J81"/>
    <mergeCell ref="B82:J82"/>
    <mergeCell ref="B83:J83"/>
    <mergeCell ref="B84:J84"/>
    <mergeCell ref="B77:J77"/>
    <mergeCell ref="B78:J78"/>
    <mergeCell ref="B79:J79"/>
    <mergeCell ref="B80:J80"/>
    <mergeCell ref="B73:J73"/>
    <mergeCell ref="B74:J74"/>
    <mergeCell ref="B75:J75"/>
    <mergeCell ref="B76:J76"/>
    <mergeCell ref="B93:J93"/>
    <mergeCell ref="B94:J94"/>
    <mergeCell ref="B95:J95"/>
    <mergeCell ref="B96:J96"/>
    <mergeCell ref="B89:J89"/>
    <mergeCell ref="B90:J90"/>
    <mergeCell ref="B91:J91"/>
    <mergeCell ref="B92:J92"/>
    <mergeCell ref="B85:J85"/>
    <mergeCell ref="B86:J86"/>
    <mergeCell ref="B87:J87"/>
    <mergeCell ref="B88:J88"/>
    <mergeCell ref="B105:J105"/>
    <mergeCell ref="B106:J106"/>
    <mergeCell ref="B107:J107"/>
    <mergeCell ref="B108:J108"/>
    <mergeCell ref="B101:J101"/>
    <mergeCell ref="B102:J102"/>
    <mergeCell ref="B103:J103"/>
    <mergeCell ref="B104:J104"/>
    <mergeCell ref="B97:J97"/>
    <mergeCell ref="B98:J98"/>
    <mergeCell ref="B99:J99"/>
    <mergeCell ref="B100:J100"/>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89:J189"/>
    <mergeCell ref="B190:J190"/>
    <mergeCell ref="B191:J191"/>
    <mergeCell ref="B192:J192"/>
    <mergeCell ref="B185:J185"/>
    <mergeCell ref="B186:J186"/>
    <mergeCell ref="B187:J187"/>
    <mergeCell ref="B188:J188"/>
    <mergeCell ref="B181:J181"/>
    <mergeCell ref="B182:J182"/>
    <mergeCell ref="B183:J183"/>
    <mergeCell ref="B184:J184"/>
    <mergeCell ref="B201:J201"/>
    <mergeCell ref="B202:J202"/>
    <mergeCell ref="B203:J203"/>
    <mergeCell ref="B204:J204"/>
    <mergeCell ref="B197:J197"/>
    <mergeCell ref="B198:J198"/>
    <mergeCell ref="B199:J199"/>
    <mergeCell ref="B200:J200"/>
    <mergeCell ref="B193:J193"/>
    <mergeCell ref="B194:J194"/>
    <mergeCell ref="B195:J195"/>
    <mergeCell ref="B196:J196"/>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97:J297"/>
    <mergeCell ref="B298:J298"/>
    <mergeCell ref="B299:J299"/>
    <mergeCell ref="B300:J300"/>
    <mergeCell ref="B293:J293"/>
    <mergeCell ref="B294:J294"/>
    <mergeCell ref="B295:J295"/>
    <mergeCell ref="B296:J296"/>
    <mergeCell ref="B289:J289"/>
    <mergeCell ref="B290:J290"/>
    <mergeCell ref="B291:J291"/>
    <mergeCell ref="B292:J292"/>
    <mergeCell ref="B309:J309"/>
    <mergeCell ref="B310:J310"/>
    <mergeCell ref="B311:J311"/>
    <mergeCell ref="B312:J312"/>
    <mergeCell ref="B305:J305"/>
    <mergeCell ref="B306:J306"/>
    <mergeCell ref="B307:J307"/>
    <mergeCell ref="B308:J308"/>
    <mergeCell ref="B301:J301"/>
    <mergeCell ref="B302:J302"/>
    <mergeCell ref="B303:J303"/>
    <mergeCell ref="B304:J304"/>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93:J393"/>
    <mergeCell ref="B394:J394"/>
    <mergeCell ref="B395:J395"/>
    <mergeCell ref="B396:J396"/>
    <mergeCell ref="B389:J389"/>
    <mergeCell ref="B390:J390"/>
    <mergeCell ref="B391:J391"/>
    <mergeCell ref="B392:J392"/>
    <mergeCell ref="B385:J385"/>
    <mergeCell ref="B386:J386"/>
    <mergeCell ref="B387:J387"/>
    <mergeCell ref="B388:J388"/>
    <mergeCell ref="B405:J405"/>
    <mergeCell ref="B406:J406"/>
    <mergeCell ref="B407:J407"/>
    <mergeCell ref="B408:J408"/>
    <mergeCell ref="B401:J401"/>
    <mergeCell ref="B402:J402"/>
    <mergeCell ref="B403:J403"/>
    <mergeCell ref="B404:J404"/>
    <mergeCell ref="B397:J397"/>
    <mergeCell ref="B398:J398"/>
    <mergeCell ref="B399:J399"/>
    <mergeCell ref="B400:J400"/>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89:J489"/>
    <mergeCell ref="B490:J490"/>
    <mergeCell ref="B491:J491"/>
    <mergeCell ref="B492:J492"/>
    <mergeCell ref="B485:J485"/>
    <mergeCell ref="B486:J486"/>
    <mergeCell ref="B487:J487"/>
    <mergeCell ref="B488:J488"/>
    <mergeCell ref="B481:J481"/>
    <mergeCell ref="B482:J482"/>
    <mergeCell ref="B483:J483"/>
    <mergeCell ref="B484:J484"/>
    <mergeCell ref="B501:J501"/>
    <mergeCell ref="B502:J502"/>
    <mergeCell ref="B503:J503"/>
    <mergeCell ref="B504:J504"/>
    <mergeCell ref="B497:J497"/>
    <mergeCell ref="B498:J498"/>
    <mergeCell ref="B499:J499"/>
    <mergeCell ref="B500:J500"/>
    <mergeCell ref="B493:J493"/>
    <mergeCell ref="B494:J494"/>
    <mergeCell ref="B495:J495"/>
    <mergeCell ref="B496:J496"/>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87:J587"/>
    <mergeCell ref="B588:J588"/>
    <mergeCell ref="B581:J581"/>
    <mergeCell ref="B582:J582"/>
    <mergeCell ref="B583:J583"/>
    <mergeCell ref="B584:J584"/>
    <mergeCell ref="B577:J577"/>
    <mergeCell ref="B578:J578"/>
    <mergeCell ref="B579:J579"/>
    <mergeCell ref="B580:J580"/>
    <mergeCell ref="B621:J621"/>
    <mergeCell ref="B613:J613"/>
    <mergeCell ref="B614:J614"/>
    <mergeCell ref="B615:J615"/>
    <mergeCell ref="B616:J616"/>
    <mergeCell ref="B620:J620"/>
    <mergeCell ref="B607:J607"/>
    <mergeCell ref="B608:J608"/>
    <mergeCell ref="B601:J601"/>
    <mergeCell ref="B602:J602"/>
    <mergeCell ref="B603:J603"/>
    <mergeCell ref="B604:J604"/>
    <mergeCell ref="A1:B2"/>
    <mergeCell ref="B617:J617"/>
    <mergeCell ref="B618:J618"/>
    <mergeCell ref="B619:J619"/>
    <mergeCell ref="B609:J609"/>
    <mergeCell ref="B610:J610"/>
    <mergeCell ref="B611:J611"/>
    <mergeCell ref="B612:J612"/>
    <mergeCell ref="B605:J605"/>
    <mergeCell ref="B606:J606"/>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10:C10"/>
    <mergeCell ref="B11:C11"/>
    <mergeCell ref="B12:C12"/>
    <mergeCell ref="B13:C13"/>
    <mergeCell ref="B6:C6"/>
    <mergeCell ref="B7:C7"/>
    <mergeCell ref="B8:C8"/>
    <mergeCell ref="B9:C9"/>
    <mergeCell ref="A1:B2"/>
    <mergeCell ref="A3:J3"/>
    <mergeCell ref="F4:G4"/>
    <mergeCell ref="F5:G5"/>
    <mergeCell ref="B5:C5"/>
    <mergeCell ref="B22:C22"/>
    <mergeCell ref="B23:C23"/>
    <mergeCell ref="B24:C24"/>
    <mergeCell ref="B25:C25"/>
    <mergeCell ref="B18:C18"/>
    <mergeCell ref="B19:C19"/>
    <mergeCell ref="B20:C20"/>
    <mergeCell ref="B21:C21"/>
    <mergeCell ref="B14:C14"/>
    <mergeCell ref="B15:C15"/>
    <mergeCell ref="B16:C16"/>
    <mergeCell ref="B17:C17"/>
    <mergeCell ref="B34:C34"/>
    <mergeCell ref="B35:C35"/>
    <mergeCell ref="B36:C36"/>
    <mergeCell ref="B37:C37"/>
    <mergeCell ref="B30:C30"/>
    <mergeCell ref="B31:C31"/>
    <mergeCell ref="B32:C32"/>
    <mergeCell ref="B33:C33"/>
    <mergeCell ref="B26:C26"/>
    <mergeCell ref="B27:C27"/>
    <mergeCell ref="B28:C28"/>
    <mergeCell ref="B29:C29"/>
    <mergeCell ref="B46:C46"/>
    <mergeCell ref="B47:C47"/>
    <mergeCell ref="B48:C48"/>
    <mergeCell ref="B49:C49"/>
    <mergeCell ref="B42:C42"/>
    <mergeCell ref="B43:C43"/>
    <mergeCell ref="B44:C44"/>
    <mergeCell ref="B45:C45"/>
    <mergeCell ref="B38:C38"/>
    <mergeCell ref="B39:C39"/>
    <mergeCell ref="B40:C40"/>
    <mergeCell ref="B41:C41"/>
    <mergeCell ref="B58:C58"/>
    <mergeCell ref="B59:C59"/>
    <mergeCell ref="B60:C60"/>
    <mergeCell ref="B61:C61"/>
    <mergeCell ref="B54:C54"/>
    <mergeCell ref="B55:C55"/>
    <mergeCell ref="B56:C56"/>
    <mergeCell ref="B57:C57"/>
    <mergeCell ref="B50:C50"/>
    <mergeCell ref="B51:C51"/>
    <mergeCell ref="B52:C52"/>
    <mergeCell ref="B53:C53"/>
    <mergeCell ref="B70:C70"/>
    <mergeCell ref="B71:C71"/>
    <mergeCell ref="B72:C72"/>
    <mergeCell ref="B73:C73"/>
    <mergeCell ref="B66:C66"/>
    <mergeCell ref="B67:C67"/>
    <mergeCell ref="B68:C68"/>
    <mergeCell ref="B69:C69"/>
    <mergeCell ref="B62:C62"/>
    <mergeCell ref="B63:C63"/>
    <mergeCell ref="B64:C64"/>
    <mergeCell ref="B65:C65"/>
    <mergeCell ref="B82:C82"/>
    <mergeCell ref="B83:C83"/>
    <mergeCell ref="B84:C84"/>
    <mergeCell ref="B85:C85"/>
    <mergeCell ref="B78:C78"/>
    <mergeCell ref="B79:C79"/>
    <mergeCell ref="B80:C80"/>
    <mergeCell ref="B81:C81"/>
    <mergeCell ref="B74:C74"/>
    <mergeCell ref="B75:C75"/>
    <mergeCell ref="B76:C76"/>
    <mergeCell ref="B77:C77"/>
    <mergeCell ref="B94:C94"/>
    <mergeCell ref="B95:C95"/>
    <mergeCell ref="B96:C96"/>
    <mergeCell ref="B97:C97"/>
    <mergeCell ref="B90:C90"/>
    <mergeCell ref="B91:C91"/>
    <mergeCell ref="B92:C92"/>
    <mergeCell ref="B93:C93"/>
    <mergeCell ref="B86:C86"/>
    <mergeCell ref="B87:C87"/>
    <mergeCell ref="B88:C88"/>
    <mergeCell ref="B89:C89"/>
    <mergeCell ref="B106:C106"/>
    <mergeCell ref="B107:C107"/>
    <mergeCell ref="B108:C108"/>
    <mergeCell ref="B109:C109"/>
    <mergeCell ref="B102:C102"/>
    <mergeCell ref="B103:C103"/>
    <mergeCell ref="B104:C104"/>
    <mergeCell ref="B105:C105"/>
    <mergeCell ref="B98:C98"/>
    <mergeCell ref="B99:C99"/>
    <mergeCell ref="B100:C100"/>
    <mergeCell ref="B101:C101"/>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84:C184"/>
    <mergeCell ref="B185:C185"/>
    <mergeCell ref="B174:C174"/>
    <mergeCell ref="B175:C175"/>
    <mergeCell ref="B176:C176"/>
    <mergeCell ref="B177:C177"/>
    <mergeCell ref="B170:C170"/>
    <mergeCell ref="B171:C171"/>
    <mergeCell ref="B172:C172"/>
    <mergeCell ref="B173:C173"/>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24:G24"/>
    <mergeCell ref="F25:G25"/>
    <mergeCell ref="F26:G26"/>
    <mergeCell ref="F27:G27"/>
    <mergeCell ref="F20:G20"/>
    <mergeCell ref="F21:G21"/>
    <mergeCell ref="F22:G22"/>
    <mergeCell ref="F23:G23"/>
    <mergeCell ref="F16:G16"/>
    <mergeCell ref="F17:G17"/>
    <mergeCell ref="F18:G18"/>
    <mergeCell ref="F19:G19"/>
    <mergeCell ref="F36:G36"/>
    <mergeCell ref="F37:G37"/>
    <mergeCell ref="F38:G38"/>
    <mergeCell ref="F39:G39"/>
    <mergeCell ref="F32:G32"/>
    <mergeCell ref="F33:G33"/>
    <mergeCell ref="F34:G34"/>
    <mergeCell ref="F35:G35"/>
    <mergeCell ref="F28:G28"/>
    <mergeCell ref="F29:G29"/>
    <mergeCell ref="F30:G30"/>
    <mergeCell ref="F31:G31"/>
    <mergeCell ref="F48:G48"/>
    <mergeCell ref="F49:G49"/>
    <mergeCell ref="F50:G50"/>
    <mergeCell ref="F51:G51"/>
    <mergeCell ref="F44:G44"/>
    <mergeCell ref="F45:G45"/>
    <mergeCell ref="F46:G46"/>
    <mergeCell ref="F47:G47"/>
    <mergeCell ref="F40:G40"/>
    <mergeCell ref="F41:G41"/>
    <mergeCell ref="F42:G42"/>
    <mergeCell ref="F43:G43"/>
    <mergeCell ref="F60:G60"/>
    <mergeCell ref="F61:G61"/>
    <mergeCell ref="F62:G62"/>
    <mergeCell ref="F63:G63"/>
    <mergeCell ref="F56:G56"/>
    <mergeCell ref="F57:G57"/>
    <mergeCell ref="F58:G58"/>
    <mergeCell ref="F59:G59"/>
    <mergeCell ref="F52:G52"/>
    <mergeCell ref="F53:G53"/>
    <mergeCell ref="F54:G54"/>
    <mergeCell ref="F55:G55"/>
    <mergeCell ref="F72:G72"/>
    <mergeCell ref="F73:G73"/>
    <mergeCell ref="F74:G74"/>
    <mergeCell ref="F75:G75"/>
    <mergeCell ref="F68:G68"/>
    <mergeCell ref="F69:G69"/>
    <mergeCell ref="F70:G70"/>
    <mergeCell ref="F71:G71"/>
    <mergeCell ref="F64:G64"/>
    <mergeCell ref="F65:G65"/>
    <mergeCell ref="F66:G66"/>
    <mergeCell ref="F67:G67"/>
    <mergeCell ref="F84:G84"/>
    <mergeCell ref="F85:G85"/>
    <mergeCell ref="F86:G86"/>
    <mergeCell ref="F87:G87"/>
    <mergeCell ref="F80:G80"/>
    <mergeCell ref="F81:G81"/>
    <mergeCell ref="F82:G82"/>
    <mergeCell ref="F83:G83"/>
    <mergeCell ref="F76:G76"/>
    <mergeCell ref="F77:G77"/>
    <mergeCell ref="F78:G78"/>
    <mergeCell ref="F79:G79"/>
    <mergeCell ref="F96:G96"/>
    <mergeCell ref="F97:G97"/>
    <mergeCell ref="F98:G98"/>
    <mergeCell ref="F99:G99"/>
    <mergeCell ref="F92:G92"/>
    <mergeCell ref="F93:G93"/>
    <mergeCell ref="F94:G94"/>
    <mergeCell ref="F95:G95"/>
    <mergeCell ref="F88:G88"/>
    <mergeCell ref="F89:G89"/>
    <mergeCell ref="F90:G90"/>
    <mergeCell ref="F91:G91"/>
    <mergeCell ref="F108:G108"/>
    <mergeCell ref="F109:G109"/>
    <mergeCell ref="F110:G110"/>
    <mergeCell ref="F111:G111"/>
    <mergeCell ref="F104:G104"/>
    <mergeCell ref="F105:G105"/>
    <mergeCell ref="F106:G106"/>
    <mergeCell ref="F107:G107"/>
    <mergeCell ref="F100:G100"/>
    <mergeCell ref="F101:G101"/>
    <mergeCell ref="F102:G102"/>
    <mergeCell ref="F103:G103"/>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E54:G54"/>
    <mergeCell ref="E55:G55"/>
    <mergeCell ref="B6:D6"/>
    <mergeCell ref="A10:G10"/>
    <mergeCell ref="B7:D7"/>
    <mergeCell ref="B8:D8"/>
    <mergeCell ref="E53:G53"/>
    <mergeCell ref="A50:J50"/>
    <mergeCell ref="A51:J51"/>
    <mergeCell ref="E52:G52"/>
    <mergeCell ref="H53:J53"/>
    <mergeCell ref="H52:J52"/>
    <mergeCell ref="B47:G47"/>
    <mergeCell ref="B48:G48"/>
    <mergeCell ref="A52:D52"/>
    <mergeCell ref="B41:G41"/>
    <mergeCell ref="A31:J31"/>
    <mergeCell ref="B44:G44"/>
    <mergeCell ref="B45:G45"/>
    <mergeCell ref="B46:G46"/>
    <mergeCell ref="B43:G43"/>
    <mergeCell ref="B38:G38"/>
    <mergeCell ref="B42:G42"/>
    <mergeCell ref="B25:J25"/>
    <mergeCell ref="B26:J26"/>
    <mergeCell ref="B27:J27"/>
    <mergeCell ref="B29:J29"/>
    <mergeCell ref="B28:J28"/>
    <mergeCell ref="B32:G32"/>
    <mergeCell ref="B33:G33"/>
    <mergeCell ref="B34:G34"/>
    <mergeCell ref="B40:G40"/>
    <mergeCell ref="H32:J39"/>
    <mergeCell ref="B35:G35"/>
    <mergeCell ref="B36:G36"/>
    <mergeCell ref="B37:G37"/>
    <mergeCell ref="B39:G39"/>
    <mergeCell ref="H40:J48"/>
    <mergeCell ref="B24:J24"/>
    <mergeCell ref="B14:G14"/>
    <mergeCell ref="B22:J22"/>
    <mergeCell ref="B23:J23"/>
    <mergeCell ref="A1:B2"/>
    <mergeCell ref="B11:G11"/>
    <mergeCell ref="B17:G17"/>
    <mergeCell ref="B18:G18"/>
    <mergeCell ref="A20:J20"/>
    <mergeCell ref="B21:J21"/>
    <mergeCell ref="B12:G12"/>
    <mergeCell ref="B13:G13"/>
    <mergeCell ref="B15:G15"/>
    <mergeCell ref="B16:G16"/>
    <mergeCell ref="A3:J3"/>
    <mergeCell ref="A5:D5"/>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JADRANSKI NAFTOVOD D.D.</v>
      </c>
      <c r="B21" s="250"/>
      <c r="C21" s="250"/>
      <c r="D21" s="250"/>
      <c r="E21" s="250"/>
      <c r="F21" s="250"/>
      <c r="G21" s="250"/>
      <c r="H21" s="251"/>
      <c r="I21" s="252"/>
      <c r="J21" s="253"/>
    </row>
    <row r="22" spans="1:10" ht="13.5" customHeight="1">
      <c r="A22" s="255" t="str">
        <f>IF(Opci!C29&lt;&gt;"",MID(Opci!C29,1,30),"")</f>
        <v>MIRAMARSKA CESTA 24</v>
      </c>
      <c r="B22" s="249"/>
      <c r="C22" s="249"/>
      <c r="D22" s="249"/>
      <c r="E22" s="249"/>
      <c r="F22" s="249"/>
      <c r="G22" s="249"/>
      <c r="H22" s="80"/>
      <c r="I22" s="247"/>
      <c r="J22" s="246"/>
    </row>
    <row r="23" spans="1:10" ht="13.5" customHeight="1">
      <c r="A23" s="255" t="str">
        <f>IF(AND(Opci!C27&lt;&gt;"",Opci!F27&lt;&gt;""),MID(Opci!C27&amp;" "&amp;Opci!F27,1,30),"")</f>
        <v>10000 ZAGREB</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8 9 0 1 8 7 1 2 2 6 5</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2013.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A8:J8"/>
    <mergeCell ref="A1:B2"/>
    <mergeCell ref="A3:J3"/>
    <mergeCell ref="A5:J5"/>
    <mergeCell ref="A6:J6"/>
    <mergeCell ref="A7:J7"/>
    <mergeCell ref="A9:J9"/>
    <mergeCell ref="A16:J16"/>
    <mergeCell ref="A18:B18"/>
    <mergeCell ref="I10:I11"/>
    <mergeCell ref="B14:H14"/>
    <mergeCell ref="J10:J11"/>
    <mergeCell ref="A11:H11"/>
    <mergeCell ref="B12:H12"/>
    <mergeCell ref="B13:H13"/>
    <mergeCell ref="H20:J20"/>
    <mergeCell ref="G28:I31"/>
    <mergeCell ref="C25:I25"/>
    <mergeCell ref="D27:E27"/>
    <mergeCell ref="F27:J27"/>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42"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19:J119"/>
    <mergeCell ref="A121:J121"/>
    <mergeCell ref="A122:J122"/>
    <mergeCell ref="A120:J120"/>
    <mergeCell ref="A131:J131"/>
    <mergeCell ref="A130:J130"/>
    <mergeCell ref="A123:J123"/>
    <mergeCell ref="A124:J124"/>
    <mergeCell ref="A125:J125"/>
    <mergeCell ref="A126:J126"/>
    <mergeCell ref="A110:J110"/>
    <mergeCell ref="A111:J111"/>
    <mergeCell ref="A112:J112"/>
    <mergeCell ref="A113:J113"/>
    <mergeCell ref="A114:J114"/>
    <mergeCell ref="A115:J115"/>
    <mergeCell ref="A116:J116"/>
    <mergeCell ref="A117:J117"/>
    <mergeCell ref="A118:J118"/>
    <mergeCell ref="A101:J101"/>
    <mergeCell ref="A102:J102"/>
    <mergeCell ref="A104:J104"/>
    <mergeCell ref="A105:J105"/>
    <mergeCell ref="A106:J106"/>
    <mergeCell ref="A103:J103"/>
    <mergeCell ref="A107:J107"/>
    <mergeCell ref="A108:J108"/>
    <mergeCell ref="A109:J109"/>
    <mergeCell ref="A92:J92"/>
    <mergeCell ref="A93:J93"/>
    <mergeCell ref="A94:J94"/>
    <mergeCell ref="A95:J95"/>
    <mergeCell ref="A97:J97"/>
    <mergeCell ref="A96:J96"/>
    <mergeCell ref="A98:J98"/>
    <mergeCell ref="A99:J99"/>
    <mergeCell ref="A100:J100"/>
    <mergeCell ref="A81:J81"/>
    <mergeCell ref="A82:J82"/>
    <mergeCell ref="A83:J83"/>
    <mergeCell ref="A84:J84"/>
    <mergeCell ref="A85:J85"/>
    <mergeCell ref="A90:J90"/>
    <mergeCell ref="A91:J91"/>
    <mergeCell ref="A88:J88"/>
    <mergeCell ref="A89:J89"/>
    <mergeCell ref="A86:J86"/>
    <mergeCell ref="A87:J87"/>
    <mergeCell ref="A72:J72"/>
    <mergeCell ref="A73:J73"/>
    <mergeCell ref="A74:J74"/>
    <mergeCell ref="A75:J75"/>
    <mergeCell ref="A76:J76"/>
    <mergeCell ref="A77:J77"/>
    <mergeCell ref="A78:J78"/>
    <mergeCell ref="A79:J79"/>
    <mergeCell ref="A80:J80"/>
    <mergeCell ref="A66:J66"/>
    <mergeCell ref="A62:J62"/>
    <mergeCell ref="A71:J71"/>
    <mergeCell ref="A70:J70"/>
    <mergeCell ref="A68:J68"/>
    <mergeCell ref="A69:J69"/>
    <mergeCell ref="A67:J67"/>
    <mergeCell ref="A64:J64"/>
    <mergeCell ref="A63:J63"/>
    <mergeCell ref="A65:J65"/>
    <mergeCell ref="A59:J59"/>
    <mergeCell ref="A56:J56"/>
    <mergeCell ref="A53:J53"/>
    <mergeCell ref="A55:J55"/>
    <mergeCell ref="A54:J54"/>
    <mergeCell ref="A50:J50"/>
    <mergeCell ref="A39:J39"/>
    <mergeCell ref="A60:J60"/>
    <mergeCell ref="A61:J61"/>
    <mergeCell ref="A42:J42"/>
    <mergeCell ref="A41:J41"/>
    <mergeCell ref="A40:J40"/>
    <mergeCell ref="A58:J58"/>
    <mergeCell ref="A57:J57"/>
    <mergeCell ref="A47:J47"/>
    <mergeCell ref="A48:J48"/>
    <mergeCell ref="A52:J52"/>
    <mergeCell ref="A51:J51"/>
    <mergeCell ref="A30:J30"/>
    <mergeCell ref="A24:J24"/>
    <mergeCell ref="A31:J31"/>
    <mergeCell ref="A11:J11"/>
    <mergeCell ref="A49:J49"/>
    <mergeCell ref="A46:J46"/>
    <mergeCell ref="A43:J43"/>
    <mergeCell ref="A44:J44"/>
    <mergeCell ref="A45:J45"/>
    <mergeCell ref="A33:J33"/>
    <mergeCell ref="A34:J34"/>
    <mergeCell ref="A36:J36"/>
    <mergeCell ref="A25:J25"/>
    <mergeCell ref="A14:J14"/>
    <mergeCell ref="A29:J29"/>
    <mergeCell ref="A27:J27"/>
    <mergeCell ref="A32:J32"/>
    <mergeCell ref="A35:J35"/>
    <mergeCell ref="A37:J37"/>
    <mergeCell ref="A38:J38"/>
    <mergeCell ref="A1:B2"/>
    <mergeCell ref="A4:J4"/>
    <mergeCell ref="A3:B3"/>
    <mergeCell ref="C3:H3"/>
    <mergeCell ref="I3:J3"/>
    <mergeCell ref="A8:J8"/>
    <mergeCell ref="A23:J23"/>
    <mergeCell ref="A18:J18"/>
    <mergeCell ref="A9:J9"/>
    <mergeCell ref="A21:J21"/>
    <mergeCell ref="A22:J22"/>
    <mergeCell ref="A15:J15"/>
    <mergeCell ref="A19:J19"/>
    <mergeCell ref="A20:J20"/>
    <mergeCell ref="A13:J13"/>
    <mergeCell ref="A17:J17"/>
    <mergeCell ref="A16:J16"/>
    <mergeCell ref="A28:J28"/>
    <mergeCell ref="A26:J2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H67" sqref="H67:J67"/>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2013</v>
      </c>
      <c r="P2" s="192">
        <f>IF(E5&lt;&gt;"",YEAR(E5)/100+MONTH(E5)/2+DAY(E5),0)</f>
        <v>21.63</v>
      </c>
      <c r="Q2" s="192">
        <f>IF(H5&lt;&gt;"",YEAR(H5)/100+MONTH(H5)/2+DAY(H5),0)</f>
        <v>57.129999999999995</v>
      </c>
      <c r="R2" s="192">
        <f>INT(VALUE(C17))</f>
        <v>10</v>
      </c>
      <c r="S2" s="192">
        <f>INT(VALUE(C19))/10</f>
        <v>333417.1</v>
      </c>
      <c r="T2" s="192">
        <f>INT(VALUE(C21))/50</f>
        <v>1602368.54</v>
      </c>
      <c r="U2" s="192">
        <f>INT(VALUE(C23))/100</f>
        <v>890187122.65</v>
      </c>
      <c r="V2" s="192">
        <f>LEN(Skriveni!B9)</f>
        <v>23</v>
      </c>
      <c r="W2" s="192">
        <f>INT(VALUE(C27))/100</f>
        <v>100</v>
      </c>
      <c r="X2" s="192">
        <f>LEN(Skriveni!B11)</f>
        <v>6</v>
      </c>
      <c r="Y2" s="192">
        <f>LEN(Skriveni!B12)</f>
        <v>19</v>
      </c>
      <c r="Z2" s="192">
        <f>INT(VALUE(C35))</f>
        <v>133</v>
      </c>
      <c r="AA2" s="192">
        <f>INT(VALUE(C39))</f>
        <v>4950</v>
      </c>
      <c r="AB2" s="192">
        <f>IF(C41="DA",1,0)</f>
        <v>0</v>
      </c>
      <c r="AC2" s="192">
        <f>IF(C43="DA",1,0)</f>
        <v>1</v>
      </c>
      <c r="AD2" s="192">
        <f>INT(VALUE(C45))</f>
        <v>2</v>
      </c>
      <c r="AE2" s="192">
        <f>INT(VALUE(C47))</f>
        <v>3</v>
      </c>
      <c r="AF2" s="192">
        <f>INT(VALUE(C49))</f>
        <v>42</v>
      </c>
      <c r="AG2" s="192">
        <f>C51*2+E51</f>
        <v>200</v>
      </c>
      <c r="AH2" s="192">
        <f>C53+2*E53+3*C55+4*E55</f>
        <v>3713</v>
      </c>
      <c r="AI2" s="192">
        <f>C57*2+E57</f>
        <v>36</v>
      </c>
      <c r="AJ2" s="192">
        <f>LEN(Skriveni!B43)</f>
        <v>16</v>
      </c>
      <c r="AK2" s="220">
        <f>INT(VALUE(E43))/100</f>
        <v>116864577.8</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41275</v>
      </c>
      <c r="F5" s="463"/>
      <c r="G5" s="146" t="s">
        <v>2278</v>
      </c>
      <c r="H5" s="462">
        <v>41639</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4</v>
      </c>
      <c r="F9" s="464" t="str">
        <f>IF(E9&lt;&gt;""," "&amp;LOOKUP(E9,AB29:AB45,AC29:AC45),"")</f>
        <v> Dioničko društvo</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2013</v>
      </c>
      <c r="H14" s="438" t="s">
        <v>1010</v>
      </c>
      <c r="I14" s="439"/>
      <c r="J14" s="439"/>
      <c r="K14" s="97"/>
      <c r="L14" s="162"/>
      <c r="M14" s="162"/>
      <c r="N14" s="162"/>
    </row>
    <row r="15" spans="1:14" ht="19.5" customHeight="1">
      <c r="A15" s="440">
        <f>SUM(Skriveni!H2:H392)+SUM(P2:AK2)+SUM(Skriveni!AC2:AC101)</f>
        <v>65241694740.84002</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10000</v>
      </c>
      <c r="D27" s="399"/>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2979</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t="s">
        <v>2980</v>
      </c>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133</v>
      </c>
      <c r="D35" s="414" t="str">
        <f>IF(C35&lt;&gt;"",LOOKUP(C35,P29:P584,Q29:Q584),"Nije upisana općina!")</f>
        <v>Zagreb</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21</v>
      </c>
      <c r="D37" s="414" t="str">
        <f>IF(C37&lt;&gt;"",LOOKUP(C37,T29:T49,U29:U49),"")</f>
        <v>GRAD ZAGREB</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1603</v>
      </c>
      <c r="D39" s="461" t="str">
        <f>IF(C39&lt;&gt;"",LOOKUP(C39,Djel!A5:A621,Djel!B5:B621),"Djelatnost nije upisana!")</f>
        <v>Cjevovodni transport</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NE</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2981</v>
      </c>
      <c r="D43" s="217" t="s">
        <v>2689</v>
      </c>
      <c r="E43" s="393" t="s">
        <v>2982</v>
      </c>
      <c r="F43" s="394"/>
      <c r="G43" s="46"/>
      <c r="H43" s="124" t="s">
        <v>2981</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2</v>
      </c>
      <c r="D45" s="412" t="str">
        <f>IF(C45&lt;&gt;"",LOOKUP(C45,T52:T54,U52:U54),"Svrha predaje još nije odabrana")</f>
        <v>Predaja samo u svrhu javne objave</v>
      </c>
      <c r="E45" s="403"/>
      <c r="F45" s="403"/>
      <c r="G45" s="413"/>
      <c r="H45" s="50" t="str">
        <f>IF(OR(NT_I!Q1&lt;&gt;0,NT_D!Q1&lt;&gt;0),"DA","NE")</f>
        <v>DA</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3</v>
      </c>
      <c r="D47" s="410" t="str">
        <f>IF(C47&lt;&gt;"",LOOKUP(C47,Sifre!A6:A8,Sifre!B6:B8),"Veličina nije upisana")</f>
        <v>Veliki poduzetnik</v>
      </c>
      <c r="E47" s="411"/>
      <c r="F47" s="411"/>
      <c r="G47" s="411"/>
      <c r="H47" s="124" t="s">
        <v>2981</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42</v>
      </c>
      <c r="D49" s="410" t="str">
        <f>IF(C49&lt;&gt;"",LOOKUP(C49,AF29:AF36,AG29:AG36),"Oznaka vlasništva nije upisana")</f>
        <v>Mješovito vlasništvo s preko 50% državnog kapitala</v>
      </c>
      <c r="E49" s="411"/>
      <c r="F49" s="411"/>
      <c r="G49" s="411"/>
      <c r="H49" s="124" t="s">
        <v>2981</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v>0</v>
      </c>
      <c r="F51" s="46"/>
      <c r="G51" s="97"/>
      <c r="H51" s="124" t="s">
        <v>2981</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380</v>
      </c>
      <c r="D53" s="171"/>
      <c r="E53" s="190">
        <v>377</v>
      </c>
      <c r="F53" s="171"/>
      <c r="G53" s="97"/>
      <c r="H53" s="124" t="s">
        <v>2981</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369</v>
      </c>
      <c r="D55" s="171"/>
      <c r="E55" s="191">
        <v>368</v>
      </c>
      <c r="F55" s="171"/>
      <c r="G55" s="97"/>
      <c r="H55" s="124" t="s">
        <v>2981</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12</v>
      </c>
      <c r="D57" s="46"/>
      <c r="E57" s="190">
        <v>12</v>
      </c>
      <c r="F57" s="46"/>
      <c r="G57" s="97"/>
      <c r="H57" s="124" t="s">
        <v>2981</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2983</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2984</v>
      </c>
      <c r="D67" s="420"/>
      <c r="E67" s="421"/>
      <c r="F67" s="97"/>
      <c r="G67" s="167" t="s">
        <v>1484</v>
      </c>
      <c r="H67" s="452" t="s">
        <v>2985</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2986</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2987</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A29:B29"/>
    <mergeCell ref="A1:B2"/>
    <mergeCell ref="E5:F5"/>
    <mergeCell ref="F9:N9"/>
    <mergeCell ref="K12:N12"/>
    <mergeCell ref="I39:N40"/>
    <mergeCell ref="H5:I5"/>
    <mergeCell ref="J5:N7"/>
    <mergeCell ref="A3:N3"/>
    <mergeCell ref="A5:D5"/>
    <mergeCell ref="D37:G37"/>
    <mergeCell ref="A25:B25"/>
    <mergeCell ref="A27:B27"/>
    <mergeCell ref="C25:L25"/>
    <mergeCell ref="C33:J33"/>
    <mergeCell ref="A33:B33"/>
    <mergeCell ref="A37:B37"/>
    <mergeCell ref="J59:K59"/>
    <mergeCell ref="G61:H61"/>
    <mergeCell ref="C64:D64"/>
    <mergeCell ref="C63:D63"/>
    <mergeCell ref="F62:G62"/>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61:F61"/>
    <mergeCell ref="J61:K61"/>
    <mergeCell ref="M61:N61"/>
    <mergeCell ref="G59:H59"/>
    <mergeCell ref="G60:H60"/>
    <mergeCell ref="M59:N59"/>
    <mergeCell ref="A23:B24"/>
    <mergeCell ref="A41:B41"/>
    <mergeCell ref="D47:G48"/>
    <mergeCell ref="D45:G46"/>
    <mergeCell ref="D35:G35"/>
    <mergeCell ref="A31:B31"/>
    <mergeCell ref="A45:B45"/>
    <mergeCell ref="A43:B43"/>
    <mergeCell ref="C31:J31"/>
    <mergeCell ref="A39:B39"/>
    <mergeCell ref="D39:G41"/>
    <mergeCell ref="E43:F43"/>
    <mergeCell ref="I43:N44"/>
    <mergeCell ref="I45:N46"/>
    <mergeCell ref="I47:N48"/>
    <mergeCell ref="A35:B35"/>
    <mergeCell ref="I57:N58"/>
    <mergeCell ref="C19:D19"/>
    <mergeCell ref="F27:L27"/>
    <mergeCell ref="C29:L29"/>
    <mergeCell ref="C21:D21"/>
    <mergeCell ref="C23:D23"/>
    <mergeCell ref="C27:D27"/>
    <mergeCell ref="F22:N24"/>
    <mergeCell ref="H37:J37"/>
    <mergeCell ref="I41:N42"/>
    <mergeCell ref="C56:D56"/>
    <mergeCell ref="E56:F56"/>
    <mergeCell ref="I55:N56"/>
    <mergeCell ref="I53:N54"/>
    <mergeCell ref="I51:N52"/>
    <mergeCell ref="D49:G50"/>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93" activePane="bottomLeft" state="frozen"/>
      <selection pane="topLeft" activeCell="A1" sqref="A1"/>
      <selection pane="bottomLeft" activeCell="L111" sqref="L111"/>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31.12.2013.</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89018712265; JADRANSKI NAFTOVOD D.D.</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2895491467</v>
      </c>
      <c r="L11" s="59">
        <f>L12+L19+L29+L38+L42</f>
        <v>2978235354</v>
      </c>
    </row>
    <row r="12" spans="1:12" ht="13.5" customHeight="1">
      <c r="A12" s="482" t="s">
        <v>753</v>
      </c>
      <c r="B12" s="483"/>
      <c r="C12" s="483"/>
      <c r="D12" s="483"/>
      <c r="E12" s="483"/>
      <c r="F12" s="483"/>
      <c r="G12" s="483"/>
      <c r="H12" s="484"/>
      <c r="I12" s="4">
        <v>3</v>
      </c>
      <c r="J12" s="8"/>
      <c r="K12" s="59">
        <f>SUM(K13:K18)</f>
        <v>82041415</v>
      </c>
      <c r="L12" s="59">
        <f>SUM(L13:L18)</f>
        <v>86659313</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v>78215440</v>
      </c>
      <c r="L14" s="60">
        <v>86091583</v>
      </c>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v>3825975</v>
      </c>
      <c r="L17" s="60">
        <v>567730</v>
      </c>
    </row>
    <row r="18" spans="1:12" ht="13.5" customHeight="1">
      <c r="A18" s="479" t="s">
        <v>1435</v>
      </c>
      <c r="B18" s="480"/>
      <c r="C18" s="480"/>
      <c r="D18" s="480"/>
      <c r="E18" s="480"/>
      <c r="F18" s="480"/>
      <c r="G18" s="480"/>
      <c r="H18" s="481"/>
      <c r="I18" s="4">
        <v>9</v>
      </c>
      <c r="J18" s="8"/>
      <c r="K18" s="60"/>
      <c r="L18" s="60"/>
    </row>
    <row r="19" spans="1:12" ht="13.5" customHeight="1">
      <c r="A19" s="482" t="s">
        <v>754</v>
      </c>
      <c r="B19" s="483"/>
      <c r="C19" s="483"/>
      <c r="D19" s="483"/>
      <c r="E19" s="483"/>
      <c r="F19" s="483"/>
      <c r="G19" s="483"/>
      <c r="H19" s="484"/>
      <c r="I19" s="4">
        <v>10</v>
      </c>
      <c r="J19" s="8"/>
      <c r="K19" s="59">
        <f>SUM(K20:K28)</f>
        <v>2796112707</v>
      </c>
      <c r="L19" s="59">
        <f>SUM(L20:L28)</f>
        <v>2875878841</v>
      </c>
    </row>
    <row r="20" spans="1:12" ht="13.5" customHeight="1">
      <c r="A20" s="479" t="s">
        <v>1436</v>
      </c>
      <c r="B20" s="480"/>
      <c r="C20" s="480"/>
      <c r="D20" s="480"/>
      <c r="E20" s="480"/>
      <c r="F20" s="480"/>
      <c r="G20" s="480"/>
      <c r="H20" s="481"/>
      <c r="I20" s="4">
        <v>11</v>
      </c>
      <c r="J20" s="8"/>
      <c r="K20" s="60">
        <v>384789480</v>
      </c>
      <c r="L20" s="60">
        <v>384873205</v>
      </c>
    </row>
    <row r="21" spans="1:12" ht="13.5" customHeight="1">
      <c r="A21" s="479" t="s">
        <v>186</v>
      </c>
      <c r="B21" s="480"/>
      <c r="C21" s="480"/>
      <c r="D21" s="480"/>
      <c r="E21" s="480"/>
      <c r="F21" s="480"/>
      <c r="G21" s="480"/>
      <c r="H21" s="481"/>
      <c r="I21" s="4">
        <v>12</v>
      </c>
      <c r="J21" s="8"/>
      <c r="K21" s="60">
        <v>1027373460</v>
      </c>
      <c r="L21" s="60">
        <v>1099135304</v>
      </c>
    </row>
    <row r="22" spans="1:12" ht="13.5" customHeight="1">
      <c r="A22" s="479" t="s">
        <v>1437</v>
      </c>
      <c r="B22" s="480"/>
      <c r="C22" s="480"/>
      <c r="D22" s="480"/>
      <c r="E22" s="480"/>
      <c r="F22" s="480"/>
      <c r="G22" s="480"/>
      <c r="H22" s="481"/>
      <c r="I22" s="4">
        <v>13</v>
      </c>
      <c r="J22" s="8"/>
      <c r="K22" s="60">
        <v>339722563</v>
      </c>
      <c r="L22" s="60">
        <v>364320513</v>
      </c>
    </row>
    <row r="23" spans="1:12" ht="13.5" customHeight="1">
      <c r="A23" s="479" t="s">
        <v>1273</v>
      </c>
      <c r="B23" s="480"/>
      <c r="C23" s="480"/>
      <c r="D23" s="480"/>
      <c r="E23" s="480"/>
      <c r="F23" s="480"/>
      <c r="G23" s="480"/>
      <c r="H23" s="481"/>
      <c r="I23" s="4">
        <v>14</v>
      </c>
      <c r="J23" s="8"/>
      <c r="K23" s="60">
        <v>12932093</v>
      </c>
      <c r="L23" s="60">
        <v>18565439</v>
      </c>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v>20069538</v>
      </c>
      <c r="L25" s="60">
        <v>4128619</v>
      </c>
    </row>
    <row r="26" spans="1:12" ht="13.5" customHeight="1">
      <c r="A26" s="479" t="s">
        <v>1164</v>
      </c>
      <c r="B26" s="480"/>
      <c r="C26" s="480"/>
      <c r="D26" s="480"/>
      <c r="E26" s="480"/>
      <c r="F26" s="480"/>
      <c r="G26" s="480"/>
      <c r="H26" s="481"/>
      <c r="I26" s="4">
        <v>17</v>
      </c>
      <c r="J26" s="8"/>
      <c r="K26" s="60">
        <v>779044655</v>
      </c>
      <c r="L26" s="60">
        <v>771241068</v>
      </c>
    </row>
    <row r="27" spans="1:12" ht="13.5" customHeight="1">
      <c r="A27" s="479" t="s">
        <v>1165</v>
      </c>
      <c r="B27" s="480"/>
      <c r="C27" s="480"/>
      <c r="D27" s="480"/>
      <c r="E27" s="480"/>
      <c r="F27" s="480"/>
      <c r="G27" s="480"/>
      <c r="H27" s="481"/>
      <c r="I27" s="4">
        <v>18</v>
      </c>
      <c r="J27" s="8"/>
      <c r="K27" s="60">
        <v>232180918</v>
      </c>
      <c r="L27" s="60">
        <v>233614693</v>
      </c>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1070859</v>
      </c>
      <c r="L29" s="59">
        <f>SUM(L30:L37)</f>
        <v>1699096</v>
      </c>
    </row>
    <row r="30" spans="1:12" ht="13.5" customHeight="1">
      <c r="A30" s="479" t="s">
        <v>1167</v>
      </c>
      <c r="B30" s="480"/>
      <c r="C30" s="480"/>
      <c r="D30" s="480"/>
      <c r="E30" s="480"/>
      <c r="F30" s="480"/>
      <c r="G30" s="480"/>
      <c r="H30" s="481"/>
      <c r="I30" s="4">
        <v>21</v>
      </c>
      <c r="J30" s="8"/>
      <c r="K30" s="60">
        <v>64046</v>
      </c>
      <c r="L30" s="60">
        <v>80904</v>
      </c>
    </row>
    <row r="31" spans="1:12" ht="13.5" customHeight="1">
      <c r="A31" s="479" t="s">
        <v>1168</v>
      </c>
      <c r="B31" s="480"/>
      <c r="C31" s="480"/>
      <c r="D31" s="480"/>
      <c r="E31" s="480"/>
      <c r="F31" s="480"/>
      <c r="G31" s="480"/>
      <c r="H31" s="481"/>
      <c r="I31" s="4">
        <v>22</v>
      </c>
      <c r="J31" s="8"/>
      <c r="K31" s="60">
        <v>969613</v>
      </c>
      <c r="L31" s="60">
        <v>1580992</v>
      </c>
    </row>
    <row r="32" spans="1:12" ht="13.5" customHeight="1">
      <c r="A32" s="479" t="s">
        <v>1169</v>
      </c>
      <c r="B32" s="480"/>
      <c r="C32" s="480"/>
      <c r="D32" s="480"/>
      <c r="E32" s="480"/>
      <c r="F32" s="480"/>
      <c r="G32" s="480"/>
      <c r="H32" s="481"/>
      <c r="I32" s="4">
        <v>23</v>
      </c>
      <c r="J32" s="8"/>
      <c r="K32" s="60"/>
      <c r="L32" s="60"/>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c r="L35" s="60"/>
    </row>
    <row r="36" spans="1:12" ht="13.5" customHeight="1">
      <c r="A36" s="479" t="s">
        <v>1170</v>
      </c>
      <c r="B36" s="480"/>
      <c r="C36" s="480"/>
      <c r="D36" s="480"/>
      <c r="E36" s="480"/>
      <c r="F36" s="480"/>
      <c r="G36" s="480"/>
      <c r="H36" s="481"/>
      <c r="I36" s="4">
        <v>27</v>
      </c>
      <c r="J36" s="8"/>
      <c r="K36" s="60">
        <v>37200</v>
      </c>
      <c r="L36" s="60">
        <v>37200</v>
      </c>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6208057</v>
      </c>
      <c r="L38" s="59">
        <f>SUM(L39:L41)</f>
        <v>2207570</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v>152097</v>
      </c>
      <c r="L40" s="60">
        <v>133250</v>
      </c>
    </row>
    <row r="41" spans="1:12" ht="13.5" customHeight="1">
      <c r="A41" s="479" t="s">
        <v>1173</v>
      </c>
      <c r="B41" s="480"/>
      <c r="C41" s="480"/>
      <c r="D41" s="480"/>
      <c r="E41" s="480"/>
      <c r="F41" s="480"/>
      <c r="G41" s="480"/>
      <c r="H41" s="481"/>
      <c r="I41" s="4">
        <v>32</v>
      </c>
      <c r="J41" s="8"/>
      <c r="K41" s="60">
        <v>6055960</v>
      </c>
      <c r="L41" s="60">
        <v>2074320</v>
      </c>
    </row>
    <row r="42" spans="1:12" ht="13.5" customHeight="1">
      <c r="A42" s="482" t="s">
        <v>1013</v>
      </c>
      <c r="B42" s="483"/>
      <c r="C42" s="483"/>
      <c r="D42" s="483"/>
      <c r="E42" s="483"/>
      <c r="F42" s="483"/>
      <c r="G42" s="483"/>
      <c r="H42" s="484"/>
      <c r="I42" s="4">
        <v>33</v>
      </c>
      <c r="J42" s="8"/>
      <c r="K42" s="60">
        <v>10058429</v>
      </c>
      <c r="L42" s="60">
        <v>11790534</v>
      </c>
    </row>
    <row r="43" spans="1:12" ht="13.5" customHeight="1">
      <c r="A43" s="488" t="s">
        <v>2297</v>
      </c>
      <c r="B43" s="489"/>
      <c r="C43" s="489"/>
      <c r="D43" s="489"/>
      <c r="E43" s="489"/>
      <c r="F43" s="489"/>
      <c r="G43" s="489"/>
      <c r="H43" s="490"/>
      <c r="I43" s="4">
        <v>34</v>
      </c>
      <c r="J43" s="8"/>
      <c r="K43" s="59">
        <f>K44+K52+K59+K67</f>
        <v>724292639</v>
      </c>
      <c r="L43" s="59">
        <f>L44+L52+L59+L67</f>
        <v>680586974</v>
      </c>
    </row>
    <row r="44" spans="1:12" ht="13.5" customHeight="1">
      <c r="A44" s="482" t="s">
        <v>319</v>
      </c>
      <c r="B44" s="483"/>
      <c r="C44" s="483"/>
      <c r="D44" s="483"/>
      <c r="E44" s="483"/>
      <c r="F44" s="483"/>
      <c r="G44" s="483"/>
      <c r="H44" s="484"/>
      <c r="I44" s="4">
        <v>35</v>
      </c>
      <c r="J44" s="8"/>
      <c r="K44" s="59">
        <f>SUM(K45:K51)</f>
        <v>9396450</v>
      </c>
      <c r="L44" s="59">
        <f>SUM(L45:L51)</f>
        <v>11250665</v>
      </c>
    </row>
    <row r="45" spans="1:12" ht="13.5" customHeight="1">
      <c r="A45" s="479" t="s">
        <v>1485</v>
      </c>
      <c r="B45" s="480"/>
      <c r="C45" s="480"/>
      <c r="D45" s="480"/>
      <c r="E45" s="480"/>
      <c r="F45" s="480"/>
      <c r="G45" s="480"/>
      <c r="H45" s="481"/>
      <c r="I45" s="4">
        <v>36</v>
      </c>
      <c r="J45" s="8"/>
      <c r="K45" s="60">
        <v>9396450</v>
      </c>
      <c r="L45" s="60">
        <v>11250665</v>
      </c>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c r="L48" s="60"/>
    </row>
    <row r="49" spans="1:12" ht="13.5" customHeight="1">
      <c r="A49" s="479" t="s">
        <v>306</v>
      </c>
      <c r="B49" s="480"/>
      <c r="C49" s="480"/>
      <c r="D49" s="480"/>
      <c r="E49" s="480"/>
      <c r="F49" s="480"/>
      <c r="G49" s="480"/>
      <c r="H49" s="481"/>
      <c r="I49" s="4">
        <v>40</v>
      </c>
      <c r="J49" s="8"/>
      <c r="K49" s="60"/>
      <c r="L49" s="60"/>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111478427</v>
      </c>
      <c r="L52" s="59">
        <f>SUM(L53:L58)</f>
        <v>106360832</v>
      </c>
    </row>
    <row r="53" spans="1:12" ht="13.5" customHeight="1">
      <c r="A53" s="479" t="s">
        <v>2639</v>
      </c>
      <c r="B53" s="480"/>
      <c r="C53" s="480"/>
      <c r="D53" s="480"/>
      <c r="E53" s="480"/>
      <c r="F53" s="480"/>
      <c r="G53" s="480"/>
      <c r="H53" s="481"/>
      <c r="I53" s="4">
        <v>44</v>
      </c>
      <c r="J53" s="8"/>
      <c r="K53" s="60">
        <v>12230212</v>
      </c>
      <c r="L53" s="60">
        <v>9597142</v>
      </c>
    </row>
    <row r="54" spans="1:12" ht="13.5" customHeight="1">
      <c r="A54" s="479" t="s">
        <v>2640</v>
      </c>
      <c r="B54" s="480"/>
      <c r="C54" s="480"/>
      <c r="D54" s="480"/>
      <c r="E54" s="480"/>
      <c r="F54" s="480"/>
      <c r="G54" s="480"/>
      <c r="H54" s="481"/>
      <c r="I54" s="4">
        <v>45</v>
      </c>
      <c r="J54" s="8"/>
      <c r="K54" s="60">
        <v>70637555</v>
      </c>
      <c r="L54" s="60">
        <v>86661545</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v>168384</v>
      </c>
      <c r="L56" s="60">
        <v>17263</v>
      </c>
    </row>
    <row r="57" spans="1:12" ht="13.5" customHeight="1">
      <c r="A57" s="479" t="s">
        <v>663</v>
      </c>
      <c r="B57" s="480"/>
      <c r="C57" s="480"/>
      <c r="D57" s="480"/>
      <c r="E57" s="480"/>
      <c r="F57" s="480"/>
      <c r="G57" s="480"/>
      <c r="H57" s="481"/>
      <c r="I57" s="4">
        <v>48</v>
      </c>
      <c r="J57" s="8"/>
      <c r="K57" s="60">
        <v>23331614</v>
      </c>
      <c r="L57" s="60">
        <v>6829386</v>
      </c>
    </row>
    <row r="58" spans="1:12" ht="13.5" customHeight="1">
      <c r="A58" s="479" t="s">
        <v>664</v>
      </c>
      <c r="B58" s="480"/>
      <c r="C58" s="480"/>
      <c r="D58" s="480"/>
      <c r="E58" s="480"/>
      <c r="F58" s="480"/>
      <c r="G58" s="480"/>
      <c r="H58" s="481"/>
      <c r="I58" s="4">
        <v>49</v>
      </c>
      <c r="J58" s="8"/>
      <c r="K58" s="60">
        <v>5110662</v>
      </c>
      <c r="L58" s="60">
        <v>3255496</v>
      </c>
    </row>
    <row r="59" spans="1:12" ht="13.5" customHeight="1">
      <c r="A59" s="482" t="s">
        <v>321</v>
      </c>
      <c r="B59" s="483"/>
      <c r="C59" s="483"/>
      <c r="D59" s="483"/>
      <c r="E59" s="483"/>
      <c r="F59" s="483"/>
      <c r="G59" s="483"/>
      <c r="H59" s="484"/>
      <c r="I59" s="4">
        <v>50</v>
      </c>
      <c r="J59" s="8"/>
      <c r="K59" s="59">
        <f>SUM(K60:K66)</f>
        <v>509533716</v>
      </c>
      <c r="L59" s="59">
        <f>SUM(L60:L66)</f>
        <v>310880115</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c r="L64" s="60"/>
    </row>
    <row r="65" spans="1:12" ht="13.5" customHeight="1">
      <c r="A65" s="479" t="s">
        <v>303</v>
      </c>
      <c r="B65" s="480"/>
      <c r="C65" s="480"/>
      <c r="D65" s="480"/>
      <c r="E65" s="480"/>
      <c r="F65" s="480"/>
      <c r="G65" s="480"/>
      <c r="H65" s="481"/>
      <c r="I65" s="4">
        <v>56</v>
      </c>
      <c r="J65" s="8"/>
      <c r="K65" s="60">
        <v>509533716</v>
      </c>
      <c r="L65" s="60">
        <v>310880115</v>
      </c>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v>93884046</v>
      </c>
      <c r="L67" s="60">
        <v>252095362</v>
      </c>
    </row>
    <row r="68" spans="1:12" ht="13.5" customHeight="1">
      <c r="A68" s="488" t="s">
        <v>2848</v>
      </c>
      <c r="B68" s="489"/>
      <c r="C68" s="489"/>
      <c r="D68" s="489"/>
      <c r="E68" s="489"/>
      <c r="F68" s="489"/>
      <c r="G68" s="489"/>
      <c r="H68" s="490"/>
      <c r="I68" s="4">
        <v>59</v>
      </c>
      <c r="J68" s="8"/>
      <c r="K68" s="60">
        <v>38859</v>
      </c>
      <c r="L68" s="60">
        <v>195453</v>
      </c>
    </row>
    <row r="69" spans="1:12" ht="13.5" customHeight="1">
      <c r="A69" s="488" t="s">
        <v>2298</v>
      </c>
      <c r="B69" s="489"/>
      <c r="C69" s="489"/>
      <c r="D69" s="489"/>
      <c r="E69" s="489"/>
      <c r="F69" s="489"/>
      <c r="G69" s="489"/>
      <c r="H69" s="490"/>
      <c r="I69" s="4">
        <v>60</v>
      </c>
      <c r="J69" s="8"/>
      <c r="K69" s="59">
        <f>K10+K11+K43+K68</f>
        <v>3619822965</v>
      </c>
      <c r="L69" s="59">
        <f>L10+L11+L43+L68</f>
        <v>3659017781</v>
      </c>
    </row>
    <row r="70" spans="1:12" ht="13.5" customHeight="1">
      <c r="A70" s="512" t="s">
        <v>309</v>
      </c>
      <c r="B70" s="513"/>
      <c r="C70" s="513"/>
      <c r="D70" s="513"/>
      <c r="E70" s="513"/>
      <c r="F70" s="513"/>
      <c r="G70" s="513"/>
      <c r="H70" s="514"/>
      <c r="I70" s="5">
        <v>61</v>
      </c>
      <c r="J70" s="9"/>
      <c r="K70" s="61">
        <v>1784534819</v>
      </c>
      <c r="L70" s="61">
        <v>2316969286</v>
      </c>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3295444835</v>
      </c>
      <c r="L72" s="79">
        <f>L73+L74+L75+L81+L82+L85+L88</f>
        <v>3379502580</v>
      </c>
    </row>
    <row r="73" spans="1:12" ht="13.5" customHeight="1">
      <c r="A73" s="482" t="s">
        <v>2741</v>
      </c>
      <c r="B73" s="483"/>
      <c r="C73" s="483"/>
      <c r="D73" s="483"/>
      <c r="E73" s="483"/>
      <c r="F73" s="483"/>
      <c r="G73" s="483"/>
      <c r="H73" s="484"/>
      <c r="I73" s="4">
        <v>63</v>
      </c>
      <c r="J73" s="8"/>
      <c r="K73" s="60">
        <v>2720676600</v>
      </c>
      <c r="L73" s="60">
        <v>2791212660</v>
      </c>
    </row>
    <row r="74" spans="1:12" ht="13.5" customHeight="1">
      <c r="A74" s="482" t="s">
        <v>2742</v>
      </c>
      <c r="B74" s="483"/>
      <c r="C74" s="483"/>
      <c r="D74" s="483"/>
      <c r="E74" s="483"/>
      <c r="F74" s="483"/>
      <c r="G74" s="483"/>
      <c r="H74" s="484"/>
      <c r="I74" s="4">
        <v>64</v>
      </c>
      <c r="J74" s="8"/>
      <c r="K74" s="60">
        <v>53585</v>
      </c>
      <c r="L74" s="60">
        <v>53585</v>
      </c>
    </row>
    <row r="75" spans="1:12" ht="13.5" customHeight="1">
      <c r="A75" s="482" t="s">
        <v>2743</v>
      </c>
      <c r="B75" s="483"/>
      <c r="C75" s="483"/>
      <c r="D75" s="483"/>
      <c r="E75" s="483"/>
      <c r="F75" s="483"/>
      <c r="G75" s="483"/>
      <c r="H75" s="484"/>
      <c r="I75" s="4">
        <v>65</v>
      </c>
      <c r="J75" s="8"/>
      <c r="K75" s="59">
        <f>K76+K77-K78+K79+K80</f>
        <v>263799187</v>
      </c>
      <c r="L75" s="59">
        <f>L76+L77-L78+L79+L80</f>
        <v>268591598</v>
      </c>
    </row>
    <row r="76" spans="1:12" ht="13.5" customHeight="1">
      <c r="A76" s="479" t="s">
        <v>2744</v>
      </c>
      <c r="B76" s="480"/>
      <c r="C76" s="480"/>
      <c r="D76" s="480"/>
      <c r="E76" s="480"/>
      <c r="F76" s="480"/>
      <c r="G76" s="480"/>
      <c r="H76" s="481"/>
      <c r="I76" s="4">
        <v>66</v>
      </c>
      <c r="J76" s="8"/>
      <c r="K76" s="60">
        <v>26642515</v>
      </c>
      <c r="L76" s="60">
        <v>31434926</v>
      </c>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c r="L79" s="60"/>
    </row>
    <row r="80" spans="1:12" ht="13.5" customHeight="1">
      <c r="A80" s="479" t="s">
        <v>1541</v>
      </c>
      <c r="B80" s="480"/>
      <c r="C80" s="480"/>
      <c r="D80" s="480"/>
      <c r="E80" s="480"/>
      <c r="F80" s="480"/>
      <c r="G80" s="480"/>
      <c r="H80" s="481"/>
      <c r="I80" s="4">
        <v>70</v>
      </c>
      <c r="J80" s="8"/>
      <c r="K80" s="60">
        <v>237156672</v>
      </c>
      <c r="L80" s="60">
        <v>237156672</v>
      </c>
    </row>
    <row r="81" spans="1:12" ht="13.5" customHeight="1">
      <c r="A81" s="482" t="s">
        <v>1542</v>
      </c>
      <c r="B81" s="483"/>
      <c r="C81" s="483"/>
      <c r="D81" s="483"/>
      <c r="E81" s="483"/>
      <c r="F81" s="483"/>
      <c r="G81" s="483"/>
      <c r="H81" s="484"/>
      <c r="I81" s="4">
        <v>71</v>
      </c>
      <c r="J81" s="8"/>
      <c r="K81" s="60"/>
      <c r="L81" s="60"/>
    </row>
    <row r="82" spans="1:12" ht="13.5" customHeight="1">
      <c r="A82" s="482" t="s">
        <v>2295</v>
      </c>
      <c r="B82" s="483"/>
      <c r="C82" s="483"/>
      <c r="D82" s="483"/>
      <c r="E82" s="483"/>
      <c r="F82" s="483"/>
      <c r="G82" s="483"/>
      <c r="H82" s="484"/>
      <c r="I82" s="4">
        <v>72</v>
      </c>
      <c r="J82" s="8"/>
      <c r="K82" s="59">
        <f>K83-K84</f>
        <v>215067256</v>
      </c>
      <c r="L82" s="59">
        <f>L83-L84</f>
        <v>215071076</v>
      </c>
    </row>
    <row r="83" spans="1:12" ht="13.5" customHeight="1">
      <c r="A83" s="485" t="s">
        <v>2824</v>
      </c>
      <c r="B83" s="486"/>
      <c r="C83" s="486"/>
      <c r="D83" s="486"/>
      <c r="E83" s="486"/>
      <c r="F83" s="486"/>
      <c r="G83" s="486"/>
      <c r="H83" s="487"/>
      <c r="I83" s="4">
        <v>73</v>
      </c>
      <c r="J83" s="8"/>
      <c r="K83" s="60">
        <v>215067256</v>
      </c>
      <c r="L83" s="60">
        <v>215071076</v>
      </c>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95848207</v>
      </c>
      <c r="L85" s="59">
        <f>L86-L87</f>
        <v>104573661</v>
      </c>
    </row>
    <row r="86" spans="1:12" ht="13.5" customHeight="1">
      <c r="A86" s="485" t="s">
        <v>2826</v>
      </c>
      <c r="B86" s="486"/>
      <c r="C86" s="486"/>
      <c r="D86" s="486"/>
      <c r="E86" s="486"/>
      <c r="F86" s="486"/>
      <c r="G86" s="486"/>
      <c r="H86" s="487"/>
      <c r="I86" s="4">
        <v>76</v>
      </c>
      <c r="J86" s="8"/>
      <c r="K86" s="60">
        <v>95848207</v>
      </c>
      <c r="L86" s="60">
        <v>104573661</v>
      </c>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53037602</v>
      </c>
      <c r="L89" s="59">
        <f>SUM(L90:L92)</f>
        <v>52415733</v>
      </c>
    </row>
    <row r="90" spans="1:12" ht="13.5" customHeight="1">
      <c r="A90" s="479" t="s">
        <v>2699</v>
      </c>
      <c r="B90" s="480"/>
      <c r="C90" s="480"/>
      <c r="D90" s="480"/>
      <c r="E90" s="480"/>
      <c r="F90" s="480"/>
      <c r="G90" s="480"/>
      <c r="H90" s="481"/>
      <c r="I90" s="4">
        <v>80</v>
      </c>
      <c r="J90" s="8"/>
      <c r="K90" s="60">
        <v>8873629</v>
      </c>
      <c r="L90" s="60">
        <v>11552480</v>
      </c>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v>44163973</v>
      </c>
      <c r="L92" s="60">
        <v>40863253</v>
      </c>
    </row>
    <row r="93" spans="1:12" ht="13.5" customHeight="1">
      <c r="A93" s="488" t="s">
        <v>1266</v>
      </c>
      <c r="B93" s="489"/>
      <c r="C93" s="489"/>
      <c r="D93" s="489"/>
      <c r="E93" s="489"/>
      <c r="F93" s="489"/>
      <c r="G93" s="489"/>
      <c r="H93" s="490"/>
      <c r="I93" s="4">
        <v>83</v>
      </c>
      <c r="J93" s="8"/>
      <c r="K93" s="59">
        <f>SUM(K94:K102)</f>
        <v>94760964</v>
      </c>
      <c r="L93" s="59">
        <f>SUM(L94:L102)</f>
        <v>96466981</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c r="L95" s="60"/>
    </row>
    <row r="96" spans="1:12" ht="13.5" customHeight="1">
      <c r="A96" s="479" t="s">
        <v>1524</v>
      </c>
      <c r="B96" s="480"/>
      <c r="C96" s="480"/>
      <c r="D96" s="480"/>
      <c r="E96" s="480"/>
      <c r="F96" s="480"/>
      <c r="G96" s="480"/>
      <c r="H96" s="481"/>
      <c r="I96" s="4">
        <v>86</v>
      </c>
      <c r="J96" s="8"/>
      <c r="K96" s="60">
        <v>94760964</v>
      </c>
      <c r="L96" s="60">
        <v>96466981</v>
      </c>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c r="L101" s="60"/>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142619473</v>
      </c>
      <c r="L103" s="59">
        <f>SUM(L104:L115)</f>
        <v>91780024</v>
      </c>
    </row>
    <row r="104" spans="1:12" ht="13.5" customHeight="1">
      <c r="A104" s="479" t="s">
        <v>2702</v>
      </c>
      <c r="B104" s="480"/>
      <c r="C104" s="480"/>
      <c r="D104" s="480"/>
      <c r="E104" s="480"/>
      <c r="F104" s="480"/>
      <c r="G104" s="480"/>
      <c r="H104" s="481"/>
      <c r="I104" s="4">
        <v>94</v>
      </c>
      <c r="J104" s="8"/>
      <c r="K104" s="60">
        <v>325706</v>
      </c>
      <c r="L104" s="60">
        <v>253303</v>
      </c>
    </row>
    <row r="105" spans="1:12" ht="13.5" customHeight="1">
      <c r="A105" s="479" t="s">
        <v>178</v>
      </c>
      <c r="B105" s="480"/>
      <c r="C105" s="480"/>
      <c r="D105" s="480"/>
      <c r="E105" s="480"/>
      <c r="F105" s="480"/>
      <c r="G105" s="480"/>
      <c r="H105" s="481"/>
      <c r="I105" s="4">
        <v>95</v>
      </c>
      <c r="J105" s="8"/>
      <c r="K105" s="60"/>
      <c r="L105" s="60"/>
    </row>
    <row r="106" spans="1:12" ht="13.5" customHeight="1">
      <c r="A106" s="479" t="s">
        <v>1524</v>
      </c>
      <c r="B106" s="480"/>
      <c r="C106" s="480"/>
      <c r="D106" s="480"/>
      <c r="E106" s="480"/>
      <c r="F106" s="480"/>
      <c r="G106" s="480"/>
      <c r="H106" s="481"/>
      <c r="I106" s="4">
        <v>96</v>
      </c>
      <c r="J106" s="8"/>
      <c r="K106" s="60"/>
      <c r="L106" s="60"/>
    </row>
    <row r="107" spans="1:12" ht="13.5" customHeight="1">
      <c r="A107" s="479" t="s">
        <v>179</v>
      </c>
      <c r="B107" s="480"/>
      <c r="C107" s="480"/>
      <c r="D107" s="480"/>
      <c r="E107" s="480"/>
      <c r="F107" s="480"/>
      <c r="G107" s="480"/>
      <c r="H107" s="481"/>
      <c r="I107" s="4">
        <v>97</v>
      </c>
      <c r="J107" s="8"/>
      <c r="K107" s="60"/>
      <c r="L107" s="60"/>
    </row>
    <row r="108" spans="1:12" ht="13.5" customHeight="1">
      <c r="A108" s="479" t="s">
        <v>180</v>
      </c>
      <c r="B108" s="480"/>
      <c r="C108" s="480"/>
      <c r="D108" s="480"/>
      <c r="E108" s="480"/>
      <c r="F108" s="480"/>
      <c r="G108" s="480"/>
      <c r="H108" s="481"/>
      <c r="I108" s="4">
        <v>98</v>
      </c>
      <c r="J108" s="8"/>
      <c r="K108" s="60">
        <v>127790584</v>
      </c>
      <c r="L108" s="60">
        <v>82189276</v>
      </c>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v>5838903</v>
      </c>
      <c r="L111" s="60">
        <v>4526229</v>
      </c>
    </row>
    <row r="112" spans="1:12" ht="13.5" customHeight="1">
      <c r="A112" s="479" t="s">
        <v>314</v>
      </c>
      <c r="B112" s="480"/>
      <c r="C112" s="480"/>
      <c r="D112" s="480"/>
      <c r="E112" s="480"/>
      <c r="F112" s="480"/>
      <c r="G112" s="480"/>
      <c r="H112" s="481"/>
      <c r="I112" s="4">
        <v>102</v>
      </c>
      <c r="J112" s="8"/>
      <c r="K112" s="60">
        <v>4576072</v>
      </c>
      <c r="L112" s="60">
        <v>3972708</v>
      </c>
    </row>
    <row r="113" spans="1:12" ht="13.5" customHeight="1">
      <c r="A113" s="479" t="s">
        <v>317</v>
      </c>
      <c r="B113" s="480"/>
      <c r="C113" s="480"/>
      <c r="D113" s="480"/>
      <c r="E113" s="480"/>
      <c r="F113" s="480"/>
      <c r="G113" s="480"/>
      <c r="H113" s="481"/>
      <c r="I113" s="4">
        <v>103</v>
      </c>
      <c r="J113" s="8"/>
      <c r="K113" s="60">
        <v>42016</v>
      </c>
      <c r="L113" s="60">
        <v>27026</v>
      </c>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v>4046192</v>
      </c>
      <c r="L115" s="60">
        <v>811482</v>
      </c>
    </row>
    <row r="116" spans="1:12" ht="13.5" customHeight="1">
      <c r="A116" s="488" t="s">
        <v>1525</v>
      </c>
      <c r="B116" s="489"/>
      <c r="C116" s="489"/>
      <c r="D116" s="489"/>
      <c r="E116" s="489"/>
      <c r="F116" s="489"/>
      <c r="G116" s="489"/>
      <c r="H116" s="490"/>
      <c r="I116" s="4">
        <v>106</v>
      </c>
      <c r="J116" s="8"/>
      <c r="K116" s="60">
        <v>33960091</v>
      </c>
      <c r="L116" s="60">
        <v>38852463</v>
      </c>
    </row>
    <row r="117" spans="1:12" ht="13.5" customHeight="1">
      <c r="A117" s="488" t="s">
        <v>1271</v>
      </c>
      <c r="B117" s="489"/>
      <c r="C117" s="489"/>
      <c r="D117" s="489"/>
      <c r="E117" s="489"/>
      <c r="F117" s="489"/>
      <c r="G117" s="489"/>
      <c r="H117" s="490"/>
      <c r="I117" s="4">
        <v>107</v>
      </c>
      <c r="J117" s="8"/>
      <c r="K117" s="59">
        <f>K72+K89+K93+K103+K116</f>
        <v>3619822965</v>
      </c>
      <c r="L117" s="59">
        <f>L72+L89+L93+L103+L116</f>
        <v>3659017781</v>
      </c>
    </row>
    <row r="118" spans="1:12" ht="13.5" customHeight="1">
      <c r="A118" s="528" t="s">
        <v>2849</v>
      </c>
      <c r="B118" s="529"/>
      <c r="C118" s="529"/>
      <c r="D118" s="529"/>
      <c r="E118" s="529"/>
      <c r="F118" s="529"/>
      <c r="G118" s="529"/>
      <c r="H118" s="530"/>
      <c r="I118" s="5">
        <v>108</v>
      </c>
      <c r="J118" s="8"/>
      <c r="K118" s="61">
        <v>1784534819</v>
      </c>
      <c r="L118" s="61">
        <v>2316969286</v>
      </c>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14:H114"/>
    <mergeCell ref="A115:H115"/>
    <mergeCell ref="A1:B2"/>
    <mergeCell ref="L3:L4"/>
    <mergeCell ref="A3:K3"/>
    <mergeCell ref="A4:K4"/>
    <mergeCell ref="A71:L71"/>
    <mergeCell ref="A70:H70"/>
    <mergeCell ref="A10:H10"/>
    <mergeCell ref="A11:H11"/>
    <mergeCell ref="A12:H12"/>
    <mergeCell ref="A13:H13"/>
    <mergeCell ref="A19:H19"/>
    <mergeCell ref="A88:H88"/>
    <mergeCell ref="A89:H89"/>
    <mergeCell ref="A90:H90"/>
    <mergeCell ref="A91:H91"/>
    <mergeCell ref="A92:H92"/>
    <mergeCell ref="A93:H93"/>
    <mergeCell ref="A94:H94"/>
    <mergeCell ref="A95:H95"/>
    <mergeCell ref="A14:H14"/>
    <mergeCell ref="A15:H15"/>
    <mergeCell ref="A16:H16"/>
    <mergeCell ref="A17:H17"/>
    <mergeCell ref="A6:L6"/>
    <mergeCell ref="A7:H7"/>
    <mergeCell ref="A8:H8"/>
    <mergeCell ref="A9:L9"/>
    <mergeCell ref="A18:H18"/>
    <mergeCell ref="A26:H26"/>
    <mergeCell ref="A27:H27"/>
    <mergeCell ref="A28:H28"/>
    <mergeCell ref="A29:H29"/>
    <mergeCell ref="A22:H22"/>
    <mergeCell ref="A23:H23"/>
    <mergeCell ref="A24:H24"/>
    <mergeCell ref="A25:H25"/>
    <mergeCell ref="A20:H20"/>
    <mergeCell ref="A21:H21"/>
    <mergeCell ref="A34:H34"/>
    <mergeCell ref="A35:H35"/>
    <mergeCell ref="A36:H36"/>
    <mergeCell ref="A38:H38"/>
    <mergeCell ref="A37:H37"/>
    <mergeCell ref="A30:H30"/>
    <mergeCell ref="A31:H31"/>
    <mergeCell ref="A32:H32"/>
    <mergeCell ref="A33:H33"/>
    <mergeCell ref="A47:H47"/>
    <mergeCell ref="A48:H48"/>
    <mergeCell ref="A49:H49"/>
    <mergeCell ref="A50:H50"/>
    <mergeCell ref="A43:H43"/>
    <mergeCell ref="A44:H44"/>
    <mergeCell ref="A45:H45"/>
    <mergeCell ref="A46:H46"/>
    <mergeCell ref="A39:H39"/>
    <mergeCell ref="A40:H40"/>
    <mergeCell ref="A41:H41"/>
    <mergeCell ref="A42:H42"/>
    <mergeCell ref="A59:H59"/>
    <mergeCell ref="A60:H60"/>
    <mergeCell ref="A61:H61"/>
    <mergeCell ref="A62:H62"/>
    <mergeCell ref="A55:H55"/>
    <mergeCell ref="A56:H56"/>
    <mergeCell ref="A57:H57"/>
    <mergeCell ref="A58:H58"/>
    <mergeCell ref="A51:H51"/>
    <mergeCell ref="A52:H52"/>
    <mergeCell ref="A53:H53"/>
    <mergeCell ref="A54:H54"/>
    <mergeCell ref="A74:H74"/>
    <mergeCell ref="A75:H75"/>
    <mergeCell ref="A76:H76"/>
    <mergeCell ref="A77:H77"/>
    <mergeCell ref="A69:H69"/>
    <mergeCell ref="A63:H63"/>
    <mergeCell ref="A64:H64"/>
    <mergeCell ref="A65:H65"/>
    <mergeCell ref="A66:H66"/>
    <mergeCell ref="A67:H67"/>
    <mergeCell ref="A68:H68"/>
    <mergeCell ref="A124:L124"/>
    <mergeCell ref="A125:L125"/>
    <mergeCell ref="A78:H78"/>
    <mergeCell ref="A79:H79"/>
    <mergeCell ref="A80:H80"/>
    <mergeCell ref="A81:H81"/>
    <mergeCell ref="A82:H82"/>
    <mergeCell ref="A84:H84"/>
    <mergeCell ref="A85:H85"/>
    <mergeCell ref="A87:H87"/>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9" activePane="bottomLeft" state="frozen"/>
      <selection pane="topLeft" activeCell="A1" sqref="A1"/>
      <selection pane="bottomLeft" activeCell="L61" sqref="L6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01.01.2013. do 31.12.2013.</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89018712265; JADRANSKI NAFTOVOD D.D.</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1</v>
      </c>
      <c r="R8" s="207" t="s">
        <v>2817</v>
      </c>
    </row>
    <row r="9" spans="1:12" s="3" customFormat="1" ht="13.5" customHeight="1">
      <c r="A9" s="515" t="s">
        <v>1272</v>
      </c>
      <c r="B9" s="516"/>
      <c r="C9" s="516"/>
      <c r="D9" s="516"/>
      <c r="E9" s="516"/>
      <c r="F9" s="516"/>
      <c r="G9" s="516"/>
      <c r="H9" s="517"/>
      <c r="I9" s="6">
        <v>111</v>
      </c>
      <c r="J9" s="7"/>
      <c r="K9" s="79">
        <f>SUM(K10:K11)</f>
        <v>456227732</v>
      </c>
      <c r="L9" s="79">
        <f>SUM(L10:L11)</f>
        <v>452215146</v>
      </c>
    </row>
    <row r="10" spans="1:12" s="3" customFormat="1" ht="13.5" customHeight="1">
      <c r="A10" s="488" t="s">
        <v>1722</v>
      </c>
      <c r="B10" s="489"/>
      <c r="C10" s="489"/>
      <c r="D10" s="489"/>
      <c r="E10" s="489"/>
      <c r="F10" s="489"/>
      <c r="G10" s="489"/>
      <c r="H10" s="490"/>
      <c r="I10" s="4">
        <v>112</v>
      </c>
      <c r="J10" s="8"/>
      <c r="K10" s="60">
        <v>401058917</v>
      </c>
      <c r="L10" s="60">
        <v>425684703</v>
      </c>
    </row>
    <row r="11" spans="1:12" s="3" customFormat="1" ht="13.5" customHeight="1">
      <c r="A11" s="488" t="s">
        <v>322</v>
      </c>
      <c r="B11" s="489"/>
      <c r="C11" s="489"/>
      <c r="D11" s="489"/>
      <c r="E11" s="489"/>
      <c r="F11" s="489"/>
      <c r="G11" s="489"/>
      <c r="H11" s="490"/>
      <c r="I11" s="4">
        <v>113</v>
      </c>
      <c r="J11" s="8"/>
      <c r="K11" s="60">
        <v>55168815</v>
      </c>
      <c r="L11" s="60">
        <v>26530443</v>
      </c>
    </row>
    <row r="12" spans="1:12" s="3" customFormat="1" ht="13.5" customHeight="1">
      <c r="A12" s="488" t="s">
        <v>669</v>
      </c>
      <c r="B12" s="489"/>
      <c r="C12" s="489"/>
      <c r="D12" s="489"/>
      <c r="E12" s="489"/>
      <c r="F12" s="489"/>
      <c r="G12" s="489"/>
      <c r="H12" s="490"/>
      <c r="I12" s="4">
        <v>114</v>
      </c>
      <c r="J12" s="8"/>
      <c r="K12" s="59">
        <f>K13+K14+K18+K22+K23+K24+K27+K28</f>
        <v>376304488</v>
      </c>
      <c r="L12" s="59">
        <f>L13+L14+L18+L22+L23+L24+L27+L28</f>
        <v>351212045</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54991345</v>
      </c>
      <c r="L14" s="59">
        <f>SUM(L15:L17)</f>
        <v>60570862</v>
      </c>
    </row>
    <row r="15" spans="1:12" s="3" customFormat="1" ht="13.5" customHeight="1">
      <c r="A15" s="479" t="s">
        <v>2463</v>
      </c>
      <c r="B15" s="480"/>
      <c r="C15" s="480"/>
      <c r="D15" s="480"/>
      <c r="E15" s="480"/>
      <c r="F15" s="480"/>
      <c r="G15" s="480"/>
      <c r="H15" s="481"/>
      <c r="I15" s="4">
        <v>117</v>
      </c>
      <c r="J15" s="8"/>
      <c r="K15" s="60">
        <v>8950812</v>
      </c>
      <c r="L15" s="60">
        <v>6364986</v>
      </c>
    </row>
    <row r="16" spans="1:12" s="3" customFormat="1" ht="13.5" customHeight="1">
      <c r="A16" s="479" t="s">
        <v>2464</v>
      </c>
      <c r="B16" s="480"/>
      <c r="C16" s="480"/>
      <c r="D16" s="480"/>
      <c r="E16" s="480"/>
      <c r="F16" s="480"/>
      <c r="G16" s="480"/>
      <c r="H16" s="481"/>
      <c r="I16" s="4">
        <v>118</v>
      </c>
      <c r="J16" s="8"/>
      <c r="K16" s="60"/>
      <c r="L16" s="60"/>
    </row>
    <row r="17" spans="1:12" s="3" customFormat="1" ht="13.5" customHeight="1">
      <c r="A17" s="479" t="s">
        <v>2663</v>
      </c>
      <c r="B17" s="480"/>
      <c r="C17" s="480"/>
      <c r="D17" s="480"/>
      <c r="E17" s="480"/>
      <c r="F17" s="480"/>
      <c r="G17" s="480"/>
      <c r="H17" s="481"/>
      <c r="I17" s="4">
        <v>119</v>
      </c>
      <c r="J17" s="8"/>
      <c r="K17" s="60">
        <v>46040533</v>
      </c>
      <c r="L17" s="60">
        <v>54205876</v>
      </c>
    </row>
    <row r="18" spans="1:12" s="3" customFormat="1" ht="13.5" customHeight="1">
      <c r="A18" s="488" t="s">
        <v>1269</v>
      </c>
      <c r="B18" s="489"/>
      <c r="C18" s="489"/>
      <c r="D18" s="489"/>
      <c r="E18" s="489"/>
      <c r="F18" s="489"/>
      <c r="G18" s="489"/>
      <c r="H18" s="490"/>
      <c r="I18" s="4">
        <v>120</v>
      </c>
      <c r="J18" s="8"/>
      <c r="K18" s="59">
        <f>SUM(K19:K21)</f>
        <v>74921817</v>
      </c>
      <c r="L18" s="59">
        <f>SUM(L19:L21)</f>
        <v>71591488</v>
      </c>
    </row>
    <row r="19" spans="1:12" s="3" customFormat="1" ht="13.5" customHeight="1">
      <c r="A19" s="479" t="s">
        <v>2664</v>
      </c>
      <c r="B19" s="480"/>
      <c r="C19" s="480"/>
      <c r="D19" s="480"/>
      <c r="E19" s="480"/>
      <c r="F19" s="480"/>
      <c r="G19" s="480"/>
      <c r="H19" s="481"/>
      <c r="I19" s="4">
        <v>121</v>
      </c>
      <c r="J19" s="8"/>
      <c r="K19" s="60">
        <v>40950910</v>
      </c>
      <c r="L19" s="60">
        <v>39607943</v>
      </c>
    </row>
    <row r="20" spans="1:12" s="3" customFormat="1" ht="13.5" customHeight="1">
      <c r="A20" s="479" t="s">
        <v>2665</v>
      </c>
      <c r="B20" s="480"/>
      <c r="C20" s="480"/>
      <c r="D20" s="480"/>
      <c r="E20" s="480"/>
      <c r="F20" s="480"/>
      <c r="G20" s="480"/>
      <c r="H20" s="481"/>
      <c r="I20" s="4">
        <v>122</v>
      </c>
      <c r="J20" s="8"/>
      <c r="K20" s="60">
        <v>23650921</v>
      </c>
      <c r="L20" s="60">
        <v>22469258</v>
      </c>
    </row>
    <row r="21" spans="1:12" s="3" customFormat="1" ht="13.5" customHeight="1">
      <c r="A21" s="479" t="s">
        <v>2666</v>
      </c>
      <c r="B21" s="480"/>
      <c r="C21" s="480"/>
      <c r="D21" s="480"/>
      <c r="E21" s="480"/>
      <c r="F21" s="480"/>
      <c r="G21" s="480"/>
      <c r="H21" s="481"/>
      <c r="I21" s="4">
        <v>123</v>
      </c>
      <c r="J21" s="8"/>
      <c r="K21" s="60">
        <v>10319986</v>
      </c>
      <c r="L21" s="60">
        <v>9514287</v>
      </c>
    </row>
    <row r="22" spans="1:12" s="3" customFormat="1" ht="13.5" customHeight="1">
      <c r="A22" s="488" t="s">
        <v>324</v>
      </c>
      <c r="B22" s="489"/>
      <c r="C22" s="489"/>
      <c r="D22" s="489"/>
      <c r="E22" s="489"/>
      <c r="F22" s="489"/>
      <c r="G22" s="489"/>
      <c r="H22" s="490"/>
      <c r="I22" s="4">
        <v>124</v>
      </c>
      <c r="J22" s="8"/>
      <c r="K22" s="60">
        <v>173538533</v>
      </c>
      <c r="L22" s="60">
        <v>174334723</v>
      </c>
    </row>
    <row r="23" spans="1:12" s="3" customFormat="1" ht="13.5" customHeight="1">
      <c r="A23" s="488" t="s">
        <v>325</v>
      </c>
      <c r="B23" s="489"/>
      <c r="C23" s="489"/>
      <c r="D23" s="489"/>
      <c r="E23" s="489"/>
      <c r="F23" s="489"/>
      <c r="G23" s="489"/>
      <c r="H23" s="490"/>
      <c r="I23" s="4">
        <v>125</v>
      </c>
      <c r="J23" s="8"/>
      <c r="K23" s="60">
        <v>36828766</v>
      </c>
      <c r="L23" s="60">
        <v>29938109</v>
      </c>
    </row>
    <row r="24" spans="1:12" s="3" customFormat="1" ht="13.5" customHeight="1">
      <c r="A24" s="488" t="s">
        <v>1270</v>
      </c>
      <c r="B24" s="489"/>
      <c r="C24" s="489"/>
      <c r="D24" s="489"/>
      <c r="E24" s="489"/>
      <c r="F24" s="489"/>
      <c r="G24" s="489"/>
      <c r="H24" s="490"/>
      <c r="I24" s="4">
        <v>126</v>
      </c>
      <c r="J24" s="8"/>
      <c r="K24" s="59">
        <f>SUM(K25:K26)</f>
        <v>93</v>
      </c>
      <c r="L24" s="59">
        <f>SUM(L25:L26)</f>
        <v>11131603</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v>93</v>
      </c>
      <c r="L26" s="60">
        <v>11131603</v>
      </c>
    </row>
    <row r="27" spans="1:12" s="3" customFormat="1" ht="13.5" customHeight="1">
      <c r="A27" s="488" t="s">
        <v>326</v>
      </c>
      <c r="B27" s="489"/>
      <c r="C27" s="489"/>
      <c r="D27" s="489"/>
      <c r="E27" s="489"/>
      <c r="F27" s="489"/>
      <c r="G27" s="489"/>
      <c r="H27" s="490"/>
      <c r="I27" s="4">
        <v>129</v>
      </c>
      <c r="J27" s="8"/>
      <c r="K27" s="60">
        <v>36023934</v>
      </c>
      <c r="L27" s="60">
        <v>3645260</v>
      </c>
    </row>
    <row r="28" spans="1:12" s="3" customFormat="1" ht="13.5" customHeight="1">
      <c r="A28" s="488" t="s">
        <v>1079</v>
      </c>
      <c r="B28" s="489"/>
      <c r="C28" s="489"/>
      <c r="D28" s="489"/>
      <c r="E28" s="489"/>
      <c r="F28" s="489"/>
      <c r="G28" s="489"/>
      <c r="H28" s="490"/>
      <c r="I28" s="4">
        <v>130</v>
      </c>
      <c r="J28" s="8"/>
      <c r="K28" s="60"/>
      <c r="L28" s="60"/>
    </row>
    <row r="29" spans="1:12" s="3" customFormat="1" ht="13.5" customHeight="1">
      <c r="A29" s="488" t="s">
        <v>53</v>
      </c>
      <c r="B29" s="489"/>
      <c r="C29" s="489"/>
      <c r="D29" s="489"/>
      <c r="E29" s="489"/>
      <c r="F29" s="489"/>
      <c r="G29" s="489"/>
      <c r="H29" s="490"/>
      <c r="I29" s="4">
        <v>131</v>
      </c>
      <c r="J29" s="8"/>
      <c r="K29" s="59">
        <f>SUM(K30:K34)</f>
        <v>31397229</v>
      </c>
      <c r="L29" s="59">
        <f>SUM(L30:L34)</f>
        <v>23600304</v>
      </c>
    </row>
    <row r="30" spans="1:12" s="3" customFormat="1" ht="27.75" customHeight="1">
      <c r="A30" s="488" t="s">
        <v>82</v>
      </c>
      <c r="B30" s="489"/>
      <c r="C30" s="489"/>
      <c r="D30" s="489"/>
      <c r="E30" s="489"/>
      <c r="F30" s="489"/>
      <c r="G30" s="489"/>
      <c r="H30" s="490"/>
      <c r="I30" s="4">
        <v>132</v>
      </c>
      <c r="J30" s="8"/>
      <c r="K30" s="60">
        <v>39280</v>
      </c>
      <c r="L30" s="60">
        <v>51623</v>
      </c>
    </row>
    <row r="31" spans="1:12" s="3" customFormat="1" ht="27.75" customHeight="1">
      <c r="A31" s="488" t="s">
        <v>215</v>
      </c>
      <c r="B31" s="489"/>
      <c r="C31" s="489"/>
      <c r="D31" s="489"/>
      <c r="E31" s="489"/>
      <c r="F31" s="489"/>
      <c r="G31" s="489"/>
      <c r="H31" s="490"/>
      <c r="I31" s="4">
        <v>133</v>
      </c>
      <c r="J31" s="8"/>
      <c r="K31" s="60">
        <v>31357949</v>
      </c>
      <c r="L31" s="60">
        <v>23548681</v>
      </c>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c r="L34" s="60"/>
    </row>
    <row r="35" spans="1:12" s="3" customFormat="1" ht="13.5" customHeight="1">
      <c r="A35" s="488" t="s">
        <v>54</v>
      </c>
      <c r="B35" s="489"/>
      <c r="C35" s="489"/>
      <c r="D35" s="489"/>
      <c r="E35" s="489"/>
      <c r="F35" s="489"/>
      <c r="G35" s="489"/>
      <c r="H35" s="490"/>
      <c r="I35" s="4">
        <v>137</v>
      </c>
      <c r="J35" s="8"/>
      <c r="K35" s="59">
        <f>SUM(K36:K39)</f>
        <v>8772457</v>
      </c>
      <c r="L35" s="59">
        <f>SUM(L36:L39)</f>
        <v>11241668</v>
      </c>
    </row>
    <row r="36" spans="1:12" s="3" customFormat="1" ht="13.5" customHeight="1">
      <c r="A36" s="488" t="s">
        <v>2668</v>
      </c>
      <c r="B36" s="489"/>
      <c r="C36" s="489"/>
      <c r="D36" s="489"/>
      <c r="E36" s="489"/>
      <c r="F36" s="489"/>
      <c r="G36" s="489"/>
      <c r="H36" s="490"/>
      <c r="I36" s="4">
        <v>138</v>
      </c>
      <c r="J36" s="8"/>
      <c r="K36" s="60"/>
      <c r="L36" s="60"/>
    </row>
    <row r="37" spans="1:12" s="3" customFormat="1" ht="27.75" customHeight="1">
      <c r="A37" s="488" t="s">
        <v>2667</v>
      </c>
      <c r="B37" s="489"/>
      <c r="C37" s="489"/>
      <c r="D37" s="489"/>
      <c r="E37" s="489"/>
      <c r="F37" s="489"/>
      <c r="G37" s="489"/>
      <c r="H37" s="490"/>
      <c r="I37" s="4">
        <v>139</v>
      </c>
      <c r="J37" s="8"/>
      <c r="K37" s="60">
        <v>8772457</v>
      </c>
      <c r="L37" s="60">
        <v>11241668</v>
      </c>
    </row>
    <row r="38" spans="1:12" s="3" customFormat="1" ht="13.5" customHeight="1">
      <c r="A38" s="488" t="s">
        <v>79</v>
      </c>
      <c r="B38" s="489"/>
      <c r="C38" s="489"/>
      <c r="D38" s="489"/>
      <c r="E38" s="489"/>
      <c r="F38" s="489"/>
      <c r="G38" s="489"/>
      <c r="H38" s="490"/>
      <c r="I38" s="4">
        <v>140</v>
      </c>
      <c r="J38" s="8"/>
      <c r="K38" s="60"/>
      <c r="L38" s="60"/>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c r="L42" s="60"/>
    </row>
    <row r="43" spans="1:12" s="3" customFormat="1" ht="13.5" customHeight="1">
      <c r="A43" s="488" t="s">
        <v>81</v>
      </c>
      <c r="B43" s="489"/>
      <c r="C43" s="489"/>
      <c r="D43" s="489"/>
      <c r="E43" s="489"/>
      <c r="F43" s="489"/>
      <c r="G43" s="489"/>
      <c r="H43" s="490"/>
      <c r="I43" s="4">
        <v>145</v>
      </c>
      <c r="J43" s="8"/>
      <c r="K43" s="60"/>
      <c r="L43" s="60"/>
    </row>
    <row r="44" spans="1:12" s="3" customFormat="1" ht="13.5" customHeight="1">
      <c r="A44" s="488" t="s">
        <v>55</v>
      </c>
      <c r="B44" s="489"/>
      <c r="C44" s="489"/>
      <c r="D44" s="489"/>
      <c r="E44" s="489"/>
      <c r="F44" s="489"/>
      <c r="G44" s="489"/>
      <c r="H44" s="490"/>
      <c r="I44" s="4">
        <v>146</v>
      </c>
      <c r="J44" s="8"/>
      <c r="K44" s="59">
        <f>K9+K29+K40+K42</f>
        <v>487624961</v>
      </c>
      <c r="L44" s="59">
        <f>L9+L29+L40+L42</f>
        <v>475815450</v>
      </c>
    </row>
    <row r="45" spans="1:12" s="3" customFormat="1" ht="13.5" customHeight="1">
      <c r="A45" s="488" t="s">
        <v>56</v>
      </c>
      <c r="B45" s="489"/>
      <c r="C45" s="489"/>
      <c r="D45" s="489"/>
      <c r="E45" s="489"/>
      <c r="F45" s="489"/>
      <c r="G45" s="489"/>
      <c r="H45" s="490"/>
      <c r="I45" s="4">
        <v>147</v>
      </c>
      <c r="J45" s="8"/>
      <c r="K45" s="59">
        <f>K12+K35+K41+K43</f>
        <v>385076945</v>
      </c>
      <c r="L45" s="59">
        <f>L12+L35+L41+L43</f>
        <v>362453713</v>
      </c>
    </row>
    <row r="46" spans="1:12" s="3" customFormat="1" ht="13.5" customHeight="1">
      <c r="A46" s="488" t="s">
        <v>1825</v>
      </c>
      <c r="B46" s="489"/>
      <c r="C46" s="489"/>
      <c r="D46" s="489"/>
      <c r="E46" s="489"/>
      <c r="F46" s="489"/>
      <c r="G46" s="489"/>
      <c r="H46" s="490"/>
      <c r="I46" s="4">
        <v>148</v>
      </c>
      <c r="J46" s="8"/>
      <c r="K46" s="59">
        <f>K44-K45</f>
        <v>102548016</v>
      </c>
      <c r="L46" s="59">
        <f>L44-L45</f>
        <v>113361737</v>
      </c>
    </row>
    <row r="47" spans="1:12" s="3" customFormat="1" ht="13.5" customHeight="1">
      <c r="A47" s="485" t="s">
        <v>58</v>
      </c>
      <c r="B47" s="486"/>
      <c r="C47" s="486"/>
      <c r="D47" s="486"/>
      <c r="E47" s="486"/>
      <c r="F47" s="486"/>
      <c r="G47" s="486"/>
      <c r="H47" s="487"/>
      <c r="I47" s="4">
        <v>149</v>
      </c>
      <c r="J47" s="8"/>
      <c r="K47" s="59">
        <f>IF(K44&gt;K45,K44-K45,0)</f>
        <v>102548016</v>
      </c>
      <c r="L47" s="59">
        <f>IF(L44&gt;L45,L44-L45,0)</f>
        <v>113361737</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v>6699809</v>
      </c>
      <c r="L49" s="60">
        <v>8788076</v>
      </c>
    </row>
    <row r="50" spans="1:12" s="3" customFormat="1" ht="13.5" customHeight="1">
      <c r="A50" s="488" t="s">
        <v>1826</v>
      </c>
      <c r="B50" s="489"/>
      <c r="C50" s="489"/>
      <c r="D50" s="489"/>
      <c r="E50" s="489"/>
      <c r="F50" s="489"/>
      <c r="G50" s="489"/>
      <c r="H50" s="490"/>
      <c r="I50" s="4">
        <v>152</v>
      </c>
      <c r="J50" s="8"/>
      <c r="K50" s="59">
        <f>K46-K49</f>
        <v>95848207</v>
      </c>
      <c r="L50" s="59">
        <f>L46-L49</f>
        <v>104573661</v>
      </c>
    </row>
    <row r="51" spans="1:12" s="3" customFormat="1" ht="13.5" customHeight="1">
      <c r="A51" s="485" t="s">
        <v>1021</v>
      </c>
      <c r="B51" s="486"/>
      <c r="C51" s="486"/>
      <c r="D51" s="486"/>
      <c r="E51" s="486"/>
      <c r="F51" s="486"/>
      <c r="G51" s="486"/>
      <c r="H51" s="487"/>
      <c r="I51" s="4">
        <v>153</v>
      </c>
      <c r="J51" s="8"/>
      <c r="K51" s="59">
        <f>IF(K50&gt;0,K50,0)</f>
        <v>95848207</v>
      </c>
      <c r="L51" s="59">
        <f>IF(L50&gt;0,L50,0)</f>
        <v>104573661</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v>95848207</v>
      </c>
      <c r="L58" s="58">
        <v>104573661</v>
      </c>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95848207</v>
      </c>
      <c r="L69" s="71">
        <f>L58+L68</f>
        <v>104573661</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5:H25"/>
    <mergeCell ref="A26:H26"/>
    <mergeCell ref="A17:H17"/>
    <mergeCell ref="A18:H18"/>
    <mergeCell ref="A23:H23"/>
    <mergeCell ref="A24:H24"/>
    <mergeCell ref="A21:H21"/>
    <mergeCell ref="A22:H22"/>
    <mergeCell ref="A31:H31"/>
    <mergeCell ref="A32:H32"/>
    <mergeCell ref="A29:H29"/>
    <mergeCell ref="A30:H30"/>
    <mergeCell ref="A27:H27"/>
    <mergeCell ref="A28:H28"/>
    <mergeCell ref="A40:H40"/>
    <mergeCell ref="A41:H41"/>
    <mergeCell ref="A35:H35"/>
    <mergeCell ref="A36:H36"/>
    <mergeCell ref="A33:H33"/>
    <mergeCell ref="A34:H34"/>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 ref="A61:H61"/>
    <mergeCell ref="A62:H62"/>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0</v>
      </c>
      <c r="R3" s="207" t="s">
        <v>177</v>
      </c>
    </row>
    <row r="4" spans="1:12" s="3" customFormat="1" ht="19.5" customHeight="1" thickBot="1">
      <c r="A4" s="563" t="str">
        <f>"za razdoblje "&amp;IF(Opci!E5&lt;&gt;"",TEXT(Opci!E5,"DD.MM.YYYY."),"__.__.____.")&amp;" do "&amp;IF(Opci!H5&lt;&gt;"",TEXT(Opci!H5,"DD.MM.YYYY."),"__.__.____.")</f>
        <v>za razdoblje 01.01.2013. do 31.12.2013.</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89018712265; JADRANSKI NAFTOVOD D.D.</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c r="L11" s="60"/>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c r="L16" s="60"/>
    </row>
    <row r="17" spans="1:12" s="3" customFormat="1" ht="13.5" customHeight="1">
      <c r="A17" s="479" t="s">
        <v>455</v>
      </c>
      <c r="B17" s="480"/>
      <c r="C17" s="480"/>
      <c r="D17" s="480"/>
      <c r="E17" s="480"/>
      <c r="F17" s="480"/>
      <c r="G17" s="480"/>
      <c r="H17" s="480"/>
      <c r="I17" s="559"/>
      <c r="J17" s="4">
        <v>178</v>
      </c>
      <c r="K17" s="60"/>
      <c r="L17" s="60"/>
    </row>
    <row r="18" spans="1:12" s="3" customFormat="1" ht="13.5" customHeight="1">
      <c r="A18" s="479" t="s">
        <v>456</v>
      </c>
      <c r="B18" s="480"/>
      <c r="C18" s="480"/>
      <c r="D18" s="480"/>
      <c r="E18" s="480"/>
      <c r="F18" s="480"/>
      <c r="G18" s="480"/>
      <c r="H18" s="480"/>
      <c r="I18" s="559"/>
      <c r="J18" s="4">
        <v>179</v>
      </c>
      <c r="K18" s="60"/>
      <c r="L18" s="60"/>
    </row>
    <row r="19" spans="1:12" s="3" customFormat="1" ht="13.5" customHeight="1">
      <c r="A19" s="479" t="s">
        <v>457</v>
      </c>
      <c r="B19" s="480"/>
      <c r="C19" s="480"/>
      <c r="D19" s="480"/>
      <c r="E19" s="480"/>
      <c r="F19" s="480"/>
      <c r="G19" s="480"/>
      <c r="H19" s="480"/>
      <c r="I19" s="559"/>
      <c r="J19" s="4">
        <v>180</v>
      </c>
      <c r="K19" s="60"/>
      <c r="L19" s="60"/>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c r="L22" s="60"/>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0</v>
      </c>
      <c r="L26" s="59">
        <f>SUM(L10:L25)</f>
        <v>0</v>
      </c>
    </row>
    <row r="27" spans="1:12" s="3" customFormat="1" ht="13.5" customHeight="1">
      <c r="A27" s="479" t="s">
        <v>1424</v>
      </c>
      <c r="B27" s="480"/>
      <c r="C27" s="480"/>
      <c r="D27" s="480"/>
      <c r="E27" s="480"/>
      <c r="F27" s="480"/>
      <c r="G27" s="480"/>
      <c r="H27" s="480"/>
      <c r="I27" s="559"/>
      <c r="J27" s="4">
        <v>188</v>
      </c>
      <c r="K27" s="60"/>
      <c r="L27" s="60"/>
    </row>
    <row r="28" spans="1:12" s="3" customFormat="1" ht="13.5" customHeight="1">
      <c r="A28" s="479" t="s">
        <v>1425</v>
      </c>
      <c r="B28" s="480"/>
      <c r="C28" s="480"/>
      <c r="D28" s="480"/>
      <c r="E28" s="480"/>
      <c r="F28" s="480"/>
      <c r="G28" s="480"/>
      <c r="H28" s="480"/>
      <c r="I28" s="559"/>
      <c r="J28" s="4">
        <v>189</v>
      </c>
      <c r="K28" s="60"/>
      <c r="L28" s="60"/>
    </row>
    <row r="29" spans="1:12" s="3" customFormat="1" ht="13.5" customHeight="1">
      <c r="A29" s="479" t="s">
        <v>1427</v>
      </c>
      <c r="B29" s="480"/>
      <c r="C29" s="480"/>
      <c r="D29" s="480"/>
      <c r="E29" s="480"/>
      <c r="F29" s="480"/>
      <c r="G29" s="480"/>
      <c r="H29" s="480"/>
      <c r="I29" s="559"/>
      <c r="J29" s="4">
        <v>190</v>
      </c>
      <c r="K29" s="60"/>
      <c r="L29" s="60"/>
    </row>
    <row r="30" spans="1:12" s="3" customFormat="1" ht="13.5" customHeight="1">
      <c r="A30" s="479" t="s">
        <v>1426</v>
      </c>
      <c r="B30" s="480"/>
      <c r="C30" s="480"/>
      <c r="D30" s="480"/>
      <c r="E30" s="480"/>
      <c r="F30" s="480"/>
      <c r="G30" s="480"/>
      <c r="H30" s="480"/>
      <c r="I30" s="559"/>
      <c r="J30" s="4">
        <v>191</v>
      </c>
      <c r="K30" s="60"/>
      <c r="L30" s="60"/>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c r="L33" s="60"/>
    </row>
    <row r="34" spans="1:12" s="3" customFormat="1" ht="13.5" customHeight="1">
      <c r="A34" s="479" t="s">
        <v>2429</v>
      </c>
      <c r="B34" s="480"/>
      <c r="C34" s="480"/>
      <c r="D34" s="480"/>
      <c r="E34" s="480"/>
      <c r="F34" s="480"/>
      <c r="G34" s="480"/>
      <c r="H34" s="480"/>
      <c r="I34" s="559"/>
      <c r="J34" s="4">
        <v>195</v>
      </c>
      <c r="K34" s="60"/>
      <c r="L34" s="60"/>
    </row>
    <row r="35" spans="1:12" s="3" customFormat="1" ht="13.5" customHeight="1">
      <c r="A35" s="479" t="s">
        <v>2430</v>
      </c>
      <c r="B35" s="480"/>
      <c r="C35" s="480"/>
      <c r="D35" s="480"/>
      <c r="E35" s="480"/>
      <c r="F35" s="480"/>
      <c r="G35" s="480"/>
      <c r="H35" s="480"/>
      <c r="I35" s="559"/>
      <c r="J35" s="4">
        <v>196</v>
      </c>
      <c r="K35" s="60"/>
      <c r="L35" s="60"/>
    </row>
    <row r="36" spans="1:12" s="3" customFormat="1" ht="13.5" customHeight="1">
      <c r="A36" s="479" t="s">
        <v>1350</v>
      </c>
      <c r="B36" s="480"/>
      <c r="C36" s="480"/>
      <c r="D36" s="480"/>
      <c r="E36" s="480"/>
      <c r="F36" s="480"/>
      <c r="G36" s="480"/>
      <c r="H36" s="480"/>
      <c r="I36" s="559"/>
      <c r="J36" s="4">
        <v>197</v>
      </c>
      <c r="K36" s="60"/>
      <c r="L36" s="60"/>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0</v>
      </c>
      <c r="L45" s="59">
        <f>SUM(L27:L44)</f>
        <v>0</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c r="L68" s="60"/>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c r="L81" s="58"/>
    </row>
    <row r="82" spans="1:12" s="3" customFormat="1" ht="27.75" customHeight="1">
      <c r="A82" s="479" t="s">
        <v>1053</v>
      </c>
      <c r="B82" s="480"/>
      <c r="C82" s="480"/>
      <c r="D82" s="480"/>
      <c r="E82" s="480"/>
      <c r="F82" s="480"/>
      <c r="G82" s="480"/>
      <c r="H82" s="480"/>
      <c r="I82" s="559"/>
      <c r="J82" s="4">
        <v>241</v>
      </c>
      <c r="K82" s="60"/>
      <c r="L82" s="60"/>
    </row>
    <row r="83" spans="1:12" s="3" customFormat="1" ht="13.5" customHeight="1">
      <c r="A83" s="479" t="s">
        <v>1054</v>
      </c>
      <c r="B83" s="480"/>
      <c r="C83" s="480"/>
      <c r="D83" s="480"/>
      <c r="E83" s="480"/>
      <c r="F83" s="480"/>
      <c r="G83" s="480"/>
      <c r="H83" s="480"/>
      <c r="I83" s="559"/>
      <c r="J83" s="4">
        <v>242</v>
      </c>
      <c r="K83" s="60"/>
      <c r="L83" s="60"/>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0</v>
      </c>
      <c r="L91" s="59">
        <f>SUM(L81:L90)</f>
        <v>0</v>
      </c>
      <c r="N91" s="213"/>
    </row>
    <row r="92" spans="1:14" s="3" customFormat="1" ht="13.5" customHeight="1">
      <c r="A92" s="479" t="s">
        <v>1062</v>
      </c>
      <c r="B92" s="480"/>
      <c r="C92" s="480"/>
      <c r="D92" s="480"/>
      <c r="E92" s="480"/>
      <c r="F92" s="480"/>
      <c r="G92" s="480"/>
      <c r="H92" s="480"/>
      <c r="I92" s="559"/>
      <c r="J92" s="4">
        <v>251</v>
      </c>
      <c r="K92" s="60"/>
      <c r="L92" s="60"/>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c r="L95" s="60"/>
      <c r="N95" s="213"/>
    </row>
    <row r="96" spans="1:14" s="3" customFormat="1" ht="13.5" customHeight="1">
      <c r="A96" s="488" t="s">
        <v>71</v>
      </c>
      <c r="B96" s="489"/>
      <c r="C96" s="489"/>
      <c r="D96" s="489"/>
      <c r="E96" s="489"/>
      <c r="F96" s="489"/>
      <c r="G96" s="489"/>
      <c r="H96" s="489"/>
      <c r="I96" s="565"/>
      <c r="J96" s="4">
        <v>255</v>
      </c>
      <c r="K96" s="59">
        <f>SUM(K92:K95)</f>
        <v>0</v>
      </c>
      <c r="L96" s="59">
        <f>SUM(L92:L95)</f>
        <v>0</v>
      </c>
      <c r="N96" s="213"/>
    </row>
    <row r="97" spans="1:14" s="3" customFormat="1" ht="13.5" customHeight="1">
      <c r="A97" s="479" t="s">
        <v>0</v>
      </c>
      <c r="B97" s="480"/>
      <c r="C97" s="480"/>
      <c r="D97" s="480"/>
      <c r="E97" s="480"/>
      <c r="F97" s="480"/>
      <c r="G97" s="480"/>
      <c r="H97" s="480"/>
      <c r="I97" s="559"/>
      <c r="J97" s="4">
        <v>256</v>
      </c>
      <c r="K97" s="60"/>
      <c r="L97" s="60"/>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0</v>
      </c>
      <c r="L99" s="59">
        <f>SUM(L97:L98)</f>
        <v>0</v>
      </c>
      <c r="N99" s="213"/>
    </row>
    <row r="100" spans="1:12" s="3" customFormat="1" ht="13.5" customHeight="1">
      <c r="A100" s="479" t="s">
        <v>2</v>
      </c>
      <c r="B100" s="480"/>
      <c r="C100" s="480"/>
      <c r="D100" s="480"/>
      <c r="E100" s="480"/>
      <c r="F100" s="480"/>
      <c r="G100" s="480"/>
      <c r="H100" s="480"/>
      <c r="I100" s="575"/>
      <c r="J100" s="4">
        <v>259</v>
      </c>
      <c r="K100" s="60"/>
      <c r="L100" s="60"/>
    </row>
    <row r="101" spans="1:12" s="3" customFormat="1" ht="13.5" customHeight="1">
      <c r="A101" s="479" t="s">
        <v>3</v>
      </c>
      <c r="B101" s="480"/>
      <c r="C101" s="480"/>
      <c r="D101" s="480"/>
      <c r="E101" s="480"/>
      <c r="F101" s="480"/>
      <c r="G101" s="480"/>
      <c r="H101" s="480"/>
      <c r="I101" s="559"/>
      <c r="J101" s="4">
        <v>260</v>
      </c>
      <c r="K101" s="60"/>
      <c r="L101" s="60"/>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c r="L106" s="60"/>
    </row>
    <row r="107" spans="1:12" s="3" customFormat="1" ht="27.75" customHeight="1">
      <c r="A107" s="479" t="s">
        <v>9</v>
      </c>
      <c r="B107" s="480"/>
      <c r="C107" s="480"/>
      <c r="D107" s="480"/>
      <c r="E107" s="480"/>
      <c r="F107" s="480"/>
      <c r="G107" s="480"/>
      <c r="H107" s="480"/>
      <c r="I107" s="559"/>
      <c r="J107" s="4">
        <v>266</v>
      </c>
      <c r="K107" s="60"/>
      <c r="L107" s="60"/>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c r="L110" s="60"/>
    </row>
    <row r="111" spans="1:12" s="3" customFormat="1" ht="13.5" customHeight="1">
      <c r="A111" s="479" t="s">
        <v>948</v>
      </c>
      <c r="B111" s="480"/>
      <c r="C111" s="480"/>
      <c r="D111" s="480"/>
      <c r="E111" s="480"/>
      <c r="F111" s="480"/>
      <c r="G111" s="480"/>
      <c r="H111" s="480"/>
      <c r="I111" s="559"/>
      <c r="J111" s="4">
        <v>270</v>
      </c>
      <c r="K111" s="60"/>
      <c r="L111" s="60"/>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c r="L113" s="60"/>
    </row>
    <row r="114" spans="1:12" s="3" customFormat="1" ht="13.5" customHeight="1">
      <c r="A114" s="479" t="s">
        <v>2291</v>
      </c>
      <c r="B114" s="480"/>
      <c r="C114" s="480"/>
      <c r="D114" s="480"/>
      <c r="E114" s="480"/>
      <c r="F114" s="480"/>
      <c r="G114" s="480"/>
      <c r="H114" s="480"/>
      <c r="I114" s="559"/>
      <c r="J114" s="4">
        <v>273</v>
      </c>
      <c r="K114" s="60"/>
      <c r="L114" s="60"/>
    </row>
    <row r="115" spans="1:12" s="3" customFormat="1" ht="13.5" customHeight="1">
      <c r="A115" s="479" t="s">
        <v>2292</v>
      </c>
      <c r="B115" s="480"/>
      <c r="C115" s="480"/>
      <c r="D115" s="480"/>
      <c r="E115" s="480"/>
      <c r="F115" s="480"/>
      <c r="G115" s="480"/>
      <c r="H115" s="480"/>
      <c r="I115" s="559"/>
      <c r="J115" s="4">
        <v>274</v>
      </c>
      <c r="K115" s="60"/>
      <c r="L115" s="60"/>
    </row>
    <row r="116" spans="1:12" s="3" customFormat="1" ht="13.5" customHeight="1">
      <c r="A116" s="479" t="s">
        <v>2293</v>
      </c>
      <c r="B116" s="480"/>
      <c r="C116" s="480"/>
      <c r="D116" s="480"/>
      <c r="E116" s="480"/>
      <c r="F116" s="480"/>
      <c r="G116" s="480"/>
      <c r="H116" s="480"/>
      <c r="I116" s="559"/>
      <c r="J116" s="4">
        <v>275</v>
      </c>
      <c r="K116" s="60"/>
      <c r="L116" s="60"/>
    </row>
    <row r="117" spans="1:12" s="3" customFormat="1" ht="27.75" customHeight="1">
      <c r="A117" s="479" t="s">
        <v>25</v>
      </c>
      <c r="B117" s="480"/>
      <c r="C117" s="480"/>
      <c r="D117" s="480"/>
      <c r="E117" s="480"/>
      <c r="F117" s="480"/>
      <c r="G117" s="480"/>
      <c r="H117" s="480"/>
      <c r="I117" s="559"/>
      <c r="J117" s="4">
        <v>276</v>
      </c>
      <c r="K117" s="60"/>
      <c r="L117" s="60"/>
    </row>
    <row r="118" spans="1:12" s="3" customFormat="1" ht="13.5" customHeight="1">
      <c r="A118" s="488" t="s">
        <v>72</v>
      </c>
      <c r="B118" s="489"/>
      <c r="C118" s="489"/>
      <c r="D118" s="489"/>
      <c r="E118" s="489"/>
      <c r="F118" s="489"/>
      <c r="G118" s="489"/>
      <c r="H118" s="489"/>
      <c r="I118" s="565"/>
      <c r="J118" s="4">
        <v>277</v>
      </c>
      <c r="K118" s="59">
        <f>SUM(K100:K117)</f>
        <v>0</v>
      </c>
      <c r="L118" s="59">
        <f>SUM(L100:L117)</f>
        <v>0</v>
      </c>
    </row>
    <row r="119" spans="1:12" s="3" customFormat="1" ht="13.5" customHeight="1">
      <c r="A119" s="479" t="s">
        <v>26</v>
      </c>
      <c r="B119" s="480"/>
      <c r="C119" s="480"/>
      <c r="D119" s="480"/>
      <c r="E119" s="480"/>
      <c r="F119" s="480"/>
      <c r="G119" s="480"/>
      <c r="H119" s="480"/>
      <c r="I119" s="559"/>
      <c r="J119" s="4">
        <v>278</v>
      </c>
      <c r="K119" s="60"/>
      <c r="L119" s="60"/>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0</v>
      </c>
      <c r="L122" s="59">
        <f>SUM(L119:L121)</f>
        <v>0</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c r="L128" s="60"/>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c r="L130" s="60"/>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c r="L132" s="60"/>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0</v>
      </c>
      <c r="L134" s="71">
        <f>SUM(L128:L133)</f>
        <v>0</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c r="L136" s="58"/>
    </row>
    <row r="137" spans="1:12" s="3" customFormat="1" ht="13.5" customHeight="1">
      <c r="A137" s="479" t="s">
        <v>144</v>
      </c>
      <c r="B137" s="480"/>
      <c r="C137" s="480"/>
      <c r="D137" s="480"/>
      <c r="E137" s="480"/>
      <c r="F137" s="480"/>
      <c r="G137" s="480"/>
      <c r="H137" s="480"/>
      <c r="I137" s="559"/>
      <c r="J137" s="4">
        <v>295</v>
      </c>
      <c r="K137" s="60"/>
      <c r="L137" s="60"/>
    </row>
    <row r="138" spans="1:12" s="3" customFormat="1" ht="13.5" customHeight="1">
      <c r="A138" s="479" t="s">
        <v>145</v>
      </c>
      <c r="B138" s="480"/>
      <c r="C138" s="480"/>
      <c r="D138" s="480"/>
      <c r="E138" s="480"/>
      <c r="F138" s="480"/>
      <c r="G138" s="480"/>
      <c r="H138" s="480"/>
      <c r="I138" s="559"/>
      <c r="J138" s="4">
        <v>296</v>
      </c>
      <c r="K138" s="60"/>
      <c r="L138" s="60"/>
    </row>
    <row r="139" spans="1:12" s="3" customFormat="1" ht="13.5" customHeight="1">
      <c r="A139" s="479" t="s">
        <v>146</v>
      </c>
      <c r="B139" s="480"/>
      <c r="C139" s="480"/>
      <c r="D139" s="480"/>
      <c r="E139" s="480"/>
      <c r="F139" s="480"/>
      <c r="G139" s="480"/>
      <c r="H139" s="480"/>
      <c r="I139" s="559"/>
      <c r="J139" s="4">
        <v>297</v>
      </c>
      <c r="K139" s="60"/>
      <c r="L139" s="60"/>
    </row>
    <row r="140" spans="1:12" s="3" customFormat="1" ht="13.5" customHeight="1">
      <c r="A140" s="479" t="s">
        <v>147</v>
      </c>
      <c r="B140" s="480"/>
      <c r="C140" s="480"/>
      <c r="D140" s="480"/>
      <c r="E140" s="480"/>
      <c r="F140" s="480"/>
      <c r="G140" s="480"/>
      <c r="H140" s="480"/>
      <c r="I140" s="559"/>
      <c r="J140" s="4">
        <v>298</v>
      </c>
      <c r="K140" s="60"/>
      <c r="L140" s="60"/>
    </row>
    <row r="141" spans="1:12" s="3" customFormat="1" ht="13.5" customHeight="1">
      <c r="A141" s="488" t="s">
        <v>76</v>
      </c>
      <c r="B141" s="489"/>
      <c r="C141" s="489"/>
      <c r="D141" s="489"/>
      <c r="E141" s="489"/>
      <c r="F141" s="489"/>
      <c r="G141" s="489"/>
      <c r="H141" s="489"/>
      <c r="I141" s="565"/>
      <c r="J141" s="4">
        <v>299</v>
      </c>
      <c r="K141" s="59">
        <f>SUM(K136:K140)</f>
        <v>0</v>
      </c>
      <c r="L141" s="59">
        <f>SUM(L136:L140)</f>
        <v>0</v>
      </c>
    </row>
    <row r="142" spans="1:12" s="3" customFormat="1" ht="13.5" customHeight="1">
      <c r="A142" s="479" t="s">
        <v>148</v>
      </c>
      <c r="B142" s="480"/>
      <c r="C142" s="480"/>
      <c r="D142" s="480"/>
      <c r="E142" s="480"/>
      <c r="F142" s="480"/>
      <c r="G142" s="480"/>
      <c r="H142" s="480"/>
      <c r="I142" s="559"/>
      <c r="J142" s="4">
        <v>300</v>
      </c>
      <c r="K142" s="60"/>
      <c r="L142" s="60"/>
    </row>
    <row r="143" spans="1:12" s="3" customFormat="1" ht="13.5" customHeight="1">
      <c r="A143" s="479" t="s">
        <v>149</v>
      </c>
      <c r="B143" s="480"/>
      <c r="C143" s="480"/>
      <c r="D143" s="480"/>
      <c r="E143" s="480"/>
      <c r="F143" s="480"/>
      <c r="G143" s="480"/>
      <c r="H143" s="480"/>
      <c r="I143" s="559"/>
      <c r="J143" s="4">
        <v>301</v>
      </c>
      <c r="K143" s="60"/>
      <c r="L143" s="60"/>
    </row>
    <row r="144" spans="1:12" s="3" customFormat="1" ht="13.5" customHeight="1">
      <c r="A144" s="512" t="s">
        <v>77</v>
      </c>
      <c r="B144" s="513"/>
      <c r="C144" s="513"/>
      <c r="D144" s="513"/>
      <c r="E144" s="513"/>
      <c r="F144" s="513"/>
      <c r="G144" s="513"/>
      <c r="H144" s="513"/>
      <c r="I144" s="571"/>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 ref="A34:I34"/>
    <mergeCell ref="A35:I35"/>
    <mergeCell ref="A32:I32"/>
    <mergeCell ref="A33:I33"/>
    <mergeCell ref="A30:I30"/>
    <mergeCell ref="A31:I31"/>
    <mergeCell ref="A28:I28"/>
    <mergeCell ref="A29:I29"/>
    <mergeCell ref="A26:I26"/>
    <mergeCell ref="A27:I27"/>
    <mergeCell ref="A44:I44"/>
    <mergeCell ref="A45:I45"/>
    <mergeCell ref="A42:I42"/>
    <mergeCell ref="A43:I43"/>
    <mergeCell ref="A40:I40"/>
    <mergeCell ref="A41:I41"/>
    <mergeCell ref="A38:I38"/>
    <mergeCell ref="A39:I39"/>
    <mergeCell ref="A36:I36"/>
    <mergeCell ref="A37:I37"/>
    <mergeCell ref="A53:I53"/>
    <mergeCell ref="A54:I54"/>
    <mergeCell ref="A51:I51"/>
    <mergeCell ref="A52:I52"/>
    <mergeCell ref="A49:I49"/>
    <mergeCell ref="A50:I50"/>
    <mergeCell ref="A48:I48"/>
    <mergeCell ref="A46:I46"/>
    <mergeCell ref="A47:I47"/>
    <mergeCell ref="A62:I62"/>
    <mergeCell ref="A63:I63"/>
    <mergeCell ref="A61:I61"/>
    <mergeCell ref="A59:I59"/>
    <mergeCell ref="A60:I60"/>
    <mergeCell ref="A57:I57"/>
    <mergeCell ref="A58:I58"/>
    <mergeCell ref="A55:I55"/>
    <mergeCell ref="A56:I56"/>
    <mergeCell ref="A69:I69"/>
    <mergeCell ref="A72:I72"/>
    <mergeCell ref="A67:I67"/>
    <mergeCell ref="A68:I68"/>
    <mergeCell ref="A70:I70"/>
    <mergeCell ref="A71:I71"/>
    <mergeCell ref="A65:I65"/>
    <mergeCell ref="A64:I64"/>
    <mergeCell ref="A66:L66"/>
    <mergeCell ref="A81:I81"/>
    <mergeCell ref="A82:I82"/>
    <mergeCell ref="A79:I79"/>
    <mergeCell ref="A77:I77"/>
    <mergeCell ref="A78:I78"/>
    <mergeCell ref="A80:L80"/>
    <mergeCell ref="A75:I75"/>
    <mergeCell ref="A76:I76"/>
    <mergeCell ref="A73:I73"/>
    <mergeCell ref="A74:I74"/>
    <mergeCell ref="A87:I87"/>
    <mergeCell ref="A88:I88"/>
    <mergeCell ref="A85:I85"/>
    <mergeCell ref="A86:I86"/>
    <mergeCell ref="A83:I83"/>
    <mergeCell ref="A84:I84"/>
    <mergeCell ref="A91:I91"/>
    <mergeCell ref="A89:I89"/>
    <mergeCell ref="A90:I90"/>
    <mergeCell ref="A104:I104"/>
    <mergeCell ref="A101:I101"/>
    <mergeCell ref="A102:I102"/>
    <mergeCell ref="A99:I99"/>
    <mergeCell ref="A100:I100"/>
    <mergeCell ref="A92:I92"/>
    <mergeCell ref="A95:I95"/>
    <mergeCell ref="A97:I97"/>
    <mergeCell ref="A98:I98"/>
    <mergeCell ref="A93:I93"/>
    <mergeCell ref="A94:I94"/>
    <mergeCell ref="A96:I96"/>
    <mergeCell ref="A129:I129"/>
    <mergeCell ref="A131:I131"/>
    <mergeCell ref="A119:I119"/>
    <mergeCell ref="A120:I120"/>
    <mergeCell ref="A117:I117"/>
    <mergeCell ref="A118:I118"/>
    <mergeCell ref="A115:I115"/>
    <mergeCell ref="A116:I116"/>
    <mergeCell ref="A113:I113"/>
    <mergeCell ref="A114:I114"/>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B2"/>
    <mergeCell ref="A13:I13"/>
    <mergeCell ref="A14:I14"/>
    <mergeCell ref="A15:I15"/>
    <mergeCell ref="A3:K3"/>
    <mergeCell ref="A4:K4"/>
    <mergeCell ref="A12:I12"/>
    <mergeCell ref="A127:I127"/>
    <mergeCell ref="A128:I128"/>
    <mergeCell ref="A126:I126"/>
    <mergeCell ref="A123:I123"/>
    <mergeCell ref="A124:I124"/>
    <mergeCell ref="A121:I121"/>
    <mergeCell ref="A122:I122"/>
    <mergeCell ref="A125:I125"/>
    <mergeCell ref="A111:I111"/>
    <mergeCell ref="A112:I112"/>
    <mergeCell ref="A109:I109"/>
    <mergeCell ref="A110:I110"/>
    <mergeCell ref="A107:I107"/>
    <mergeCell ref="A108:I108"/>
    <mergeCell ref="A105:I105"/>
    <mergeCell ref="A106:I106"/>
    <mergeCell ref="A103:I103"/>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9" activePane="bottomLeft" state="frozen"/>
      <selection pane="topLeft" activeCell="A1" sqref="A1"/>
      <selection pane="bottomLeft" activeCell="L14" sqref="L14"/>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1</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1</v>
      </c>
      <c r="R3" s="207" t="s">
        <v>177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89018712265; JADRANSKI NAFTOVOD D.D.</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v>102548016</v>
      </c>
      <c r="L10" s="60">
        <v>113361737</v>
      </c>
    </row>
    <row r="11" spans="1:12" s="3" customFormat="1" ht="13.5" customHeight="1">
      <c r="A11" s="479" t="s">
        <v>2478</v>
      </c>
      <c r="B11" s="480"/>
      <c r="C11" s="480"/>
      <c r="D11" s="480"/>
      <c r="E11" s="480"/>
      <c r="F11" s="480"/>
      <c r="G11" s="480"/>
      <c r="H11" s="480"/>
      <c r="I11" s="4">
        <v>2</v>
      </c>
      <c r="J11" s="139"/>
      <c r="K11" s="53">
        <v>173538533</v>
      </c>
      <c r="L11" s="60">
        <v>174334723</v>
      </c>
    </row>
    <row r="12" spans="1:12" s="3" customFormat="1" ht="13.5" customHeight="1">
      <c r="A12" s="479" t="s">
        <v>2479</v>
      </c>
      <c r="B12" s="480"/>
      <c r="C12" s="480"/>
      <c r="D12" s="480"/>
      <c r="E12" s="480"/>
      <c r="F12" s="480"/>
      <c r="G12" s="480"/>
      <c r="H12" s="480"/>
      <c r="I12" s="4">
        <v>3</v>
      </c>
      <c r="J12" s="139"/>
      <c r="K12" s="53">
        <v>5684198</v>
      </c>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v>911034</v>
      </c>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282681781</v>
      </c>
      <c r="L16" s="59">
        <f>SUM(L10:L15)</f>
        <v>287696460</v>
      </c>
    </row>
    <row r="17" spans="1:12" s="3" customFormat="1" ht="13.5" customHeight="1">
      <c r="A17" s="479" t="s">
        <v>2533</v>
      </c>
      <c r="B17" s="480"/>
      <c r="C17" s="480"/>
      <c r="D17" s="480"/>
      <c r="E17" s="480"/>
      <c r="F17" s="480"/>
      <c r="G17" s="480"/>
      <c r="H17" s="480"/>
      <c r="I17" s="4">
        <v>8</v>
      </c>
      <c r="J17" s="139"/>
      <c r="K17" s="53"/>
      <c r="L17" s="60">
        <v>45947077</v>
      </c>
    </row>
    <row r="18" spans="1:12" s="3" customFormat="1" ht="13.5" customHeight="1">
      <c r="A18" s="479" t="s">
        <v>2534</v>
      </c>
      <c r="B18" s="480"/>
      <c r="C18" s="480"/>
      <c r="D18" s="480"/>
      <c r="E18" s="480"/>
      <c r="F18" s="480"/>
      <c r="G18" s="480"/>
      <c r="H18" s="480"/>
      <c r="I18" s="4">
        <v>9</v>
      </c>
      <c r="J18" s="139"/>
      <c r="K18" s="53">
        <v>52285087</v>
      </c>
      <c r="L18" s="60">
        <v>17118514</v>
      </c>
    </row>
    <row r="19" spans="1:12" s="3" customFormat="1" ht="13.5" customHeight="1">
      <c r="A19" s="479" t="s">
        <v>2535</v>
      </c>
      <c r="B19" s="480"/>
      <c r="C19" s="480"/>
      <c r="D19" s="480"/>
      <c r="E19" s="480"/>
      <c r="F19" s="480"/>
      <c r="G19" s="480"/>
      <c r="H19" s="480"/>
      <c r="I19" s="4">
        <v>10</v>
      </c>
      <c r="J19" s="139"/>
      <c r="K19" s="53"/>
      <c r="L19" s="60">
        <v>1854215</v>
      </c>
    </row>
    <row r="20" spans="1:12" s="3" customFormat="1" ht="13.5" customHeight="1">
      <c r="A20" s="479" t="s">
        <v>2536</v>
      </c>
      <c r="B20" s="480"/>
      <c r="C20" s="480"/>
      <c r="D20" s="480"/>
      <c r="E20" s="480"/>
      <c r="F20" s="480"/>
      <c r="G20" s="480"/>
      <c r="H20" s="480"/>
      <c r="I20" s="4">
        <v>11</v>
      </c>
      <c r="J20" s="139"/>
      <c r="K20" s="53">
        <v>4532620</v>
      </c>
      <c r="L20" s="60">
        <v>6229004</v>
      </c>
    </row>
    <row r="21" spans="1:12" s="3" customFormat="1" ht="13.5" customHeight="1">
      <c r="A21" s="488" t="s">
        <v>219</v>
      </c>
      <c r="B21" s="489"/>
      <c r="C21" s="489"/>
      <c r="D21" s="489"/>
      <c r="E21" s="489"/>
      <c r="F21" s="489"/>
      <c r="G21" s="489"/>
      <c r="H21" s="489"/>
      <c r="I21" s="4">
        <v>12</v>
      </c>
      <c r="J21" s="139"/>
      <c r="K21" s="54">
        <f>SUM(K17:K20)</f>
        <v>56817707</v>
      </c>
      <c r="L21" s="59">
        <f>SUM(L17:L20)</f>
        <v>71148810</v>
      </c>
    </row>
    <row r="22" spans="1:12" s="3" customFormat="1" ht="24.75" customHeight="1">
      <c r="A22" s="488" t="s">
        <v>2473</v>
      </c>
      <c r="B22" s="489"/>
      <c r="C22" s="489"/>
      <c r="D22" s="489"/>
      <c r="E22" s="489"/>
      <c r="F22" s="489"/>
      <c r="G22" s="489"/>
      <c r="H22" s="489"/>
      <c r="I22" s="4">
        <v>13</v>
      </c>
      <c r="J22" s="139"/>
      <c r="K22" s="54">
        <f>IF(K16&gt;K21,K16-K21,0)</f>
        <v>225864074</v>
      </c>
      <c r="L22" s="59">
        <f>IF(L16&gt;L21,L16-L21,0)</f>
        <v>216547650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v>181884</v>
      </c>
      <c r="L25" s="60">
        <v>197102</v>
      </c>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v>25723268</v>
      </c>
      <c r="L27" s="60">
        <v>20326276</v>
      </c>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v>198028677</v>
      </c>
    </row>
    <row r="30" spans="1:12" s="3" customFormat="1" ht="13.5" customHeight="1">
      <c r="A30" s="488" t="s">
        <v>377</v>
      </c>
      <c r="B30" s="489"/>
      <c r="C30" s="489"/>
      <c r="D30" s="489"/>
      <c r="E30" s="489"/>
      <c r="F30" s="489"/>
      <c r="G30" s="489"/>
      <c r="H30" s="489"/>
      <c r="I30" s="4">
        <v>20</v>
      </c>
      <c r="J30" s="139"/>
      <c r="K30" s="54">
        <f>SUM(K25:K29)</f>
        <v>25905152</v>
      </c>
      <c r="L30" s="59">
        <f>SUM(L25:L29)</f>
        <v>218552055</v>
      </c>
    </row>
    <row r="31" spans="1:12" s="3" customFormat="1" ht="13.5" customHeight="1">
      <c r="A31" s="479" t="s">
        <v>2619</v>
      </c>
      <c r="B31" s="480"/>
      <c r="C31" s="480"/>
      <c r="D31" s="480"/>
      <c r="E31" s="480"/>
      <c r="F31" s="480"/>
      <c r="G31" s="480"/>
      <c r="H31" s="480"/>
      <c r="I31" s="4">
        <v>21</v>
      </c>
      <c r="J31" s="139"/>
      <c r="K31" s="53">
        <v>307409104</v>
      </c>
      <c r="L31" s="60">
        <v>256357482</v>
      </c>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v>120812854</v>
      </c>
      <c r="L33" s="60"/>
    </row>
    <row r="34" spans="1:12" s="3" customFormat="1" ht="13.5" customHeight="1">
      <c r="A34" s="488" t="s">
        <v>1562</v>
      </c>
      <c r="B34" s="489"/>
      <c r="C34" s="489"/>
      <c r="D34" s="489"/>
      <c r="E34" s="489"/>
      <c r="F34" s="489"/>
      <c r="G34" s="489"/>
      <c r="H34" s="489"/>
      <c r="I34" s="4">
        <v>24</v>
      </c>
      <c r="J34" s="139"/>
      <c r="K34" s="54">
        <f>SUM(K31:K33)</f>
        <v>428221958</v>
      </c>
      <c r="L34" s="59">
        <f>SUM(L31:L33)</f>
        <v>256357482</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402316806</v>
      </c>
      <c r="L36" s="59">
        <f>IF(L34&gt;L30,L34-L30,0)</f>
        <v>37805427</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v>20530907</v>
      </c>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20530907</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20530907</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158211316</v>
      </c>
    </row>
    <row r="51" spans="1:12" s="3" customFormat="1" ht="13.5" customHeight="1">
      <c r="A51" s="479" t="s">
        <v>2224</v>
      </c>
      <c r="B51" s="480"/>
      <c r="C51" s="480"/>
      <c r="D51" s="480"/>
      <c r="E51" s="480"/>
      <c r="F51" s="480"/>
      <c r="G51" s="480"/>
      <c r="H51" s="480"/>
      <c r="I51" s="4">
        <v>40</v>
      </c>
      <c r="J51" s="139"/>
      <c r="K51" s="54">
        <f>IF(K23-K22+K36-K35+K49-K48&gt;0,K23-K22+K36-K35+K49-K48,0)</f>
        <v>176452732</v>
      </c>
      <c r="L51" s="59">
        <f>IF(L23-L22+L36-L35+L49-L48&gt;0,L23-L22+L36-L35+L49-L48,0)</f>
        <v>0</v>
      </c>
    </row>
    <row r="52" spans="1:12" s="3" customFormat="1" ht="13.5" customHeight="1">
      <c r="A52" s="479" t="s">
        <v>222</v>
      </c>
      <c r="B52" s="480"/>
      <c r="C52" s="480"/>
      <c r="D52" s="480"/>
      <c r="E52" s="480"/>
      <c r="F52" s="480"/>
      <c r="G52" s="480"/>
      <c r="H52" s="480"/>
      <c r="I52" s="4">
        <v>41</v>
      </c>
      <c r="J52" s="139"/>
      <c r="K52" s="53">
        <v>270336778</v>
      </c>
      <c r="L52" s="60">
        <v>93884046</v>
      </c>
    </row>
    <row r="53" spans="1:12" s="3" customFormat="1" ht="13.5" customHeight="1">
      <c r="A53" s="479" t="s">
        <v>943</v>
      </c>
      <c r="B53" s="480"/>
      <c r="C53" s="480"/>
      <c r="D53" s="480"/>
      <c r="E53" s="480"/>
      <c r="F53" s="480"/>
      <c r="G53" s="480"/>
      <c r="H53" s="480"/>
      <c r="I53" s="4">
        <v>42</v>
      </c>
      <c r="J53" s="139"/>
      <c r="K53" s="53"/>
      <c r="L53" s="60">
        <v>158211316</v>
      </c>
    </row>
    <row r="54" spans="1:12" s="3" customFormat="1" ht="13.5" customHeight="1">
      <c r="A54" s="479" t="s">
        <v>944</v>
      </c>
      <c r="B54" s="480"/>
      <c r="C54" s="480"/>
      <c r="D54" s="480"/>
      <c r="E54" s="480"/>
      <c r="F54" s="480"/>
      <c r="G54" s="480"/>
      <c r="H54" s="480"/>
      <c r="I54" s="4">
        <v>43</v>
      </c>
      <c r="J54" s="139"/>
      <c r="K54" s="53">
        <v>176452732</v>
      </c>
      <c r="L54" s="60"/>
    </row>
    <row r="55" spans="1:12" s="3" customFormat="1" ht="13.5" customHeight="1">
      <c r="A55" s="592" t="s">
        <v>945</v>
      </c>
      <c r="B55" s="593"/>
      <c r="C55" s="593"/>
      <c r="D55" s="593"/>
      <c r="E55" s="593"/>
      <c r="F55" s="593"/>
      <c r="G55" s="593"/>
      <c r="H55" s="593"/>
      <c r="I55" s="15">
        <v>44</v>
      </c>
      <c r="J55" s="140"/>
      <c r="K55" s="55">
        <f>K52+K53-K54</f>
        <v>93884046</v>
      </c>
      <c r="L55" s="71">
        <f>L52+L53-L54</f>
        <v>252095362</v>
      </c>
    </row>
    <row r="56" ht="4.5" customHeight="1"/>
  </sheetData>
  <sheetProtection password="C79A" sheet="1" objects="1" scenarios="1"/>
  <mergeCells count="54">
    <mergeCell ref="A52:H52"/>
    <mergeCell ref="A53:H53"/>
    <mergeCell ref="A54:H54"/>
    <mergeCell ref="A55:H55"/>
    <mergeCell ref="A47:H47"/>
    <mergeCell ref="A48:H48"/>
    <mergeCell ref="A49:H49"/>
    <mergeCell ref="A51:H51"/>
    <mergeCell ref="A50:H50"/>
    <mergeCell ref="A39:H39"/>
    <mergeCell ref="A42:H42"/>
    <mergeCell ref="A40:H40"/>
    <mergeCell ref="A41:H41"/>
    <mergeCell ref="A43:H43"/>
    <mergeCell ref="A44:H44"/>
    <mergeCell ref="A45:H45"/>
    <mergeCell ref="A46:H46"/>
    <mergeCell ref="A31:H31"/>
    <mergeCell ref="A33:H33"/>
    <mergeCell ref="A34:H34"/>
    <mergeCell ref="A38:H38"/>
    <mergeCell ref="A37:L37"/>
    <mergeCell ref="A36:H36"/>
    <mergeCell ref="A35:H35"/>
    <mergeCell ref="A32:H32"/>
    <mergeCell ref="A26:H26"/>
    <mergeCell ref="A24:L24"/>
    <mergeCell ref="A27:H27"/>
    <mergeCell ref="A30:H30"/>
    <mergeCell ref="A28:H28"/>
    <mergeCell ref="A29:H29"/>
    <mergeCell ref="A19:H19"/>
    <mergeCell ref="A20:H20"/>
    <mergeCell ref="A21:H21"/>
    <mergeCell ref="A25:H25"/>
    <mergeCell ref="A22:H22"/>
    <mergeCell ref="A23:H23"/>
    <mergeCell ref="A14:H14"/>
    <mergeCell ref="A15:H15"/>
    <mergeCell ref="A16:H16"/>
    <mergeCell ref="A17:H17"/>
    <mergeCell ref="A18:H18"/>
    <mergeCell ref="A10:H10"/>
    <mergeCell ref="A9:L9"/>
    <mergeCell ref="A11:H11"/>
    <mergeCell ref="A12:H12"/>
    <mergeCell ref="A13:H13"/>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89018712265; JADRANSKI NAFTOVOD D.D.</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3:H13"/>
    <mergeCell ref="A14:H14"/>
    <mergeCell ref="A11:H11"/>
    <mergeCell ref="A12:H12"/>
    <mergeCell ref="A9:L9"/>
    <mergeCell ref="A10:H10"/>
    <mergeCell ref="A18:H18"/>
    <mergeCell ref="A19:H19"/>
    <mergeCell ref="A16:H16"/>
    <mergeCell ref="A17:H17"/>
    <mergeCell ref="A15:H15"/>
    <mergeCell ref="A26:H26"/>
    <mergeCell ref="A23:H23"/>
    <mergeCell ref="A24:H24"/>
    <mergeCell ref="A22:H22"/>
    <mergeCell ref="A20:H20"/>
    <mergeCell ref="A21:H21"/>
    <mergeCell ref="A31:H31"/>
    <mergeCell ref="A32:H32"/>
    <mergeCell ref="A29:H29"/>
    <mergeCell ref="A30:H30"/>
    <mergeCell ref="A27:H27"/>
    <mergeCell ref="A28:H28"/>
    <mergeCell ref="A36:H36"/>
    <mergeCell ref="A37:H37"/>
    <mergeCell ref="A35:H35"/>
    <mergeCell ref="A33:H33"/>
    <mergeCell ref="A34:H34"/>
    <mergeCell ref="A54:H54"/>
    <mergeCell ref="A52:H52"/>
    <mergeCell ref="A55:H55"/>
    <mergeCell ref="A56:H56"/>
    <mergeCell ref="A53:H53"/>
    <mergeCell ref="A1:B2"/>
    <mergeCell ref="A50:H50"/>
    <mergeCell ref="A51:H51"/>
    <mergeCell ref="A25:L25"/>
    <mergeCell ref="A38:L38"/>
    <mergeCell ref="A49:H49"/>
    <mergeCell ref="A47:H47"/>
    <mergeCell ref="A48:H48"/>
    <mergeCell ref="A45:H45"/>
    <mergeCell ref="A46:H46"/>
    <mergeCell ref="A43:H43"/>
    <mergeCell ref="A44:H44"/>
    <mergeCell ref="A42:H42"/>
    <mergeCell ref="A40:H40"/>
    <mergeCell ref="A41:H41"/>
    <mergeCell ref="A39:H39"/>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Lucijana Strnad</cp:lastModifiedBy>
  <cp:lastPrinted>2014-01-24T08:56:05Z</cp:lastPrinted>
  <dcterms:created xsi:type="dcterms:W3CDTF">2008-10-17T11:51:54Z</dcterms:created>
  <dcterms:modified xsi:type="dcterms:W3CDTF">2014-04-29T06:51:11Z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