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65" windowWidth="20175" windowHeight="14685"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Uputa:</t>
        </r>
        <r>
          <rPr>
            <sz val="8"/>
            <color indexed="8"/>
            <rFont val="Tahoma"/>
            <family val="2"/>
          </rPr>
          <t xml:space="preserve">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Uputa:</t>
        </r>
        <r>
          <rPr>
            <sz val="8"/>
            <color indexed="8"/>
            <rFont val="Tahoma"/>
            <family val="2"/>
          </rPr>
          <t xml:space="preserve">
</t>
        </r>
        <r>
          <rPr>
            <sz val="8"/>
            <color indexed="8"/>
            <rFont val="Tahoma"/>
            <family val="2"/>
          </rPr>
          <t>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<sst xmlns="http://schemas.openxmlformats.org/spreadsheetml/2006/main" count="3879" uniqueCount="2964">
  <si>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</si>
  <si>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</si>
  <si>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</si>
  <si>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</si>
  <si>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</si>
  <si>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</si>
  <si>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</si>
  <si>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</si>
  <si>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</si>
  <si>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</si>
  <si>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</si>
  <si>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</si>
  <si>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</si>
  <si>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</si>
  <si>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</si>
  <si>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</si>
  <si>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</si>
  <si>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</si>
  <si>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</si>
  <si>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</si>
  <si>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</si>
  <si>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</si>
  <si>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</si>
  <si>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</si>
  <si>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</si>
  <si>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</si>
  <si>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</si>
  <si>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</si>
  <si>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</si>
  <si>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</si>
  <si>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</si>
  <si>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</si>
  <si>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</si>
  <si>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</si>
  <si>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</si>
  <si>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</si>
  <si>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</si>
  <si>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</si>
  <si>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</si>
  <si>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</si>
  <si>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</si>
  <si>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</si>
  <si>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</si>
  <si>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</si>
  <si>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</si>
  <si>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</si>
  <si>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</si>
  <si>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</si>
  <si>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</si>
  <si>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</si>
  <si>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</si>
  <si>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</si>
  <si>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</si>
  <si>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</si>
  <si>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</si>
  <si>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</si>
  <si>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</si>
  <si>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</si>
  <si>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</si>
  <si>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</si>
  <si>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</si>
  <si>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</si>
  <si>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</si>
  <si>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</si>
  <si>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</si>
  <si>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</si>
  <si>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</si>
  <si>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</si>
  <si>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</si>
  <si>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</si>
  <si>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</si>
  <si>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</si>
  <si>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</si>
  <si>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</si>
  <si>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</si>
  <si>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</si>
  <si>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</si>
  <si>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</si>
  <si>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</si>
  <si>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</si>
  <si>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</si>
  <si>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</si>
  <si>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</si>
  <si>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</si>
  <si>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</si>
  <si>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</si>
  <si>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</si>
  <si>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</si>
  <si>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</si>
  <si>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</si>
  <si>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</si>
  <si>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</si>
  <si>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</si>
  <si>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</si>
  <si>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</si>
  <si>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</si>
  <si>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</si>
  <si>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</si>
  <si>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</si>
  <si>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</si>
  <si>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</si>
  <si>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</si>
  <si>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</si>
  <si>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</si>
  <si>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</si>
  <si>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</si>
  <si>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</si>
  <si>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</si>
  <si>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</si>
  <si>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</si>
  <si>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</si>
  <si>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</si>
  <si>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</si>
  <si>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</si>
  <si>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</si>
  <si>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</si>
  <si>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</si>
  <si>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</si>
  <si>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</si>
  <si>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</si>
  <si>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</si>
  <si>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</si>
  <si>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</si>
  <si>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</si>
  <si>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</si>
  <si>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</si>
  <si>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</si>
  <si>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</si>
  <si>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</si>
  <si>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</si>
  <si>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</si>
  <si>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</si>
  <si>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</si>
  <si>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</si>
  <si>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</si>
  <si>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</si>
  <si>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</si>
  <si>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</si>
  <si>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</si>
  <si>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</si>
  <si>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</si>
  <si>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</si>
  <si>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</si>
  <si>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</si>
  <si>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</si>
  <si>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</si>
  <si>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</si>
  <si>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</si>
  <si>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</si>
  <si>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</si>
  <si>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</si>
  <si>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</si>
  <si>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</si>
  <si>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</si>
  <si>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</si>
  <si>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</si>
  <si>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</si>
  <si>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</si>
  <si>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</si>
  <si>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</si>
  <si>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</si>
  <si>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</si>
  <si>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</si>
  <si>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</si>
  <si>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</si>
  <si>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</si>
  <si>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</si>
  <si>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</si>
  <si>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</si>
  <si>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</si>
  <si>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</si>
  <si>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</si>
  <si>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</si>
  <si>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</si>
  <si>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</si>
  <si>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</si>
  <si>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</si>
  <si>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</si>
  <si>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</si>
  <si>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</si>
  <si>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</si>
  <si>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</si>
  <si>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</si>
  <si>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</si>
  <si>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</si>
  <si>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</si>
  <si>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</si>
  <si>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</si>
  <si>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</si>
  <si>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</si>
  <si>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</si>
  <si>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</si>
  <si>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</si>
  <si>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</si>
  <si>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</si>
  <si>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</si>
  <si>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</si>
  <si>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</si>
  <si>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</si>
  <si>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</si>
  <si>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</si>
  <si>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</si>
  <si>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</si>
  <si>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</si>
  <si>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</si>
  <si>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</si>
  <si>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</si>
  <si>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</si>
  <si>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</si>
  <si>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</si>
  <si>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</si>
  <si>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</si>
  <si>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</si>
  <si>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</si>
  <si>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</si>
  <si>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</si>
  <si>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</si>
  <si>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</si>
  <si>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</si>
  <si>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</si>
  <si>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</si>
  <si>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</si>
  <si>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</si>
  <si>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</si>
  <si>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</si>
  <si>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</si>
  <si>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</si>
  <si>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</si>
  <si>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</si>
  <si>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</si>
  <si>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</si>
  <si>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</si>
  <si>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</si>
  <si>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</si>
  <si>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</si>
  <si>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</si>
  <si>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</si>
  <si>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</si>
  <si>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</si>
  <si>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</si>
  <si>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</si>
  <si>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</si>
  <si>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</si>
  <si>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</si>
  <si>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</si>
  <si>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</si>
  <si>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</si>
  <si>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</si>
  <si>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</si>
  <si>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</si>
  <si>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</si>
  <si>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</si>
  <si>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</si>
  <si>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</si>
  <si>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</si>
  <si>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</si>
  <si>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</si>
  <si>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</si>
  <si>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</si>
  <si>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</si>
  <si>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</si>
  <si>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</si>
  <si>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</si>
  <si>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</si>
  <si>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</si>
  <si>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</si>
  <si>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</si>
  <si>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</si>
  <si>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</si>
  <si>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</si>
  <si>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</si>
  <si>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</si>
  <si>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</si>
  <si>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</si>
  <si>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</si>
  <si>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</si>
  <si>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</si>
  <si>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</si>
  <si>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</si>
  <si>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</si>
  <si>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</si>
  <si>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</si>
  <si>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</si>
  <si>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</si>
  <si>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</si>
  <si>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</si>
  <si>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</si>
  <si>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</si>
  <si>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</si>
  <si>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</si>
  <si>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</si>
  <si>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</si>
  <si>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</si>
  <si>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</si>
  <si>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</si>
  <si>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</si>
  <si>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</si>
  <si>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</si>
  <si>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</si>
  <si>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</si>
  <si>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</si>
  <si>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</si>
  <si>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</si>
  <si>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</si>
  <si>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</si>
  <si>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</si>
  <si>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</si>
  <si>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</si>
  <si>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</si>
  <si>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</si>
  <si>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</si>
  <si>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</si>
  <si>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</si>
  <si>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</si>
  <si>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</si>
  <si>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</si>
  <si>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</si>
  <si>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</si>
  <si>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</si>
  <si>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</si>
  <si>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</si>
  <si>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</si>
  <si>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</si>
  <si>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</si>
  <si>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</si>
  <si>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</si>
  <si>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</si>
  <si>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</si>
  <si>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</si>
  <si>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</si>
  <si>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</si>
  <si>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</si>
  <si>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</si>
  <si>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</si>
  <si>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</si>
  <si>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</si>
  <si>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</si>
  <si>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</si>
  <si>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</si>
  <si>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</si>
  <si>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</si>
  <si>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</si>
  <si>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</si>
  <si>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</si>
  <si>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</si>
  <si>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</si>
  <si>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</si>
  <si>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</si>
  <si>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</si>
  <si>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</si>
  <si>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</si>
  <si>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</si>
  <si>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</si>
  <si>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</si>
  <si>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</si>
  <si>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</si>
  <si>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</si>
  <si>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</si>
  <si>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</si>
  <si>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</si>
  <si>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</si>
  <si>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</si>
  <si>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</si>
  <si>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</si>
  <si>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</si>
  <si>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</si>
  <si>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</si>
  <si>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</si>
  <si>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</si>
  <si>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</si>
  <si>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</si>
  <si>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</si>
  <si>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</si>
  <si>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</si>
  <si>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</si>
  <si>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</si>
  <si>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</si>
  <si>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</si>
  <si>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</si>
  <si>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</si>
  <si>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</si>
  <si>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</si>
  <si>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</si>
  <si>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</si>
  <si>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</si>
  <si>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</si>
  <si>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</si>
  <si>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</si>
  <si>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</si>
  <si>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</si>
  <si>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</si>
  <si>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</si>
  <si>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</si>
  <si>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</si>
  <si>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</si>
  <si>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</si>
  <si>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</si>
  <si>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</si>
  <si>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</si>
  <si>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</si>
  <si>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</si>
  <si>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</si>
  <si>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</si>
  <si>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</si>
  <si>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</si>
  <si>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</si>
  <si>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</si>
  <si>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</si>
  <si>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</si>
  <si>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</si>
  <si>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</si>
  <si>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</si>
  <si>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</si>
  <si>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</si>
  <si>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</si>
  <si>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</si>
  <si>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</si>
  <si>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</si>
  <si>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</si>
  <si>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</si>
  <si>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</si>
  <si>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</si>
  <si>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</si>
  <si>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</si>
  <si>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</si>
  <si>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</si>
  <si>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</si>
  <si>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</si>
  <si>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</si>
  <si>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</si>
  <si>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</si>
  <si>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</si>
  <si>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</si>
  <si>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</si>
  <si>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</si>
  <si>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</si>
  <si>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</si>
  <si>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</si>
  <si>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</si>
  <si>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</si>
  <si>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</si>
  <si>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</si>
  <si>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</si>
  <si>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</si>
  <si>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</si>
  <si>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</si>
  <si>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</si>
  <si>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</si>
  <si>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</si>
  <si>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</si>
  <si>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</si>
  <si>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</si>
  <si>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</si>
  <si>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</si>
  <si>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</si>
  <si>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</si>
  <si>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</si>
  <si>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</si>
  <si>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</si>
  <si>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</si>
  <si>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</si>
  <si>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</si>
  <si>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</si>
  <si>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</si>
  <si>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</si>
  <si>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</si>
  <si>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</si>
  <si>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</si>
  <si>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</si>
  <si>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</si>
  <si>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</si>
  <si>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</si>
  <si>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</si>
  <si>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</si>
  <si>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</si>
  <si>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</si>
  <si>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</si>
  <si>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</si>
  <si>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</si>
  <si>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</si>
  <si>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</si>
  <si>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</si>
  <si>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</si>
  <si>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</si>
  <si>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</si>
  <si>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</si>
  <si>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</si>
  <si>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</si>
  <si>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</si>
  <si>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</si>
  <si>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</si>
  <si>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</si>
  <si>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</si>
  <si>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</si>
  <si>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</si>
  <si>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</si>
  <si>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</si>
  <si>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</si>
  <si>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</si>
  <si>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</si>
  <si>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</si>
  <si>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</si>
  <si>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</si>
  <si>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</si>
  <si>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</si>
  <si>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</si>
  <si>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</si>
  <si>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</si>
  <si>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</si>
  <si>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</si>
  <si>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</si>
  <si>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</si>
  <si>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</si>
  <si>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</si>
  <si>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</si>
  <si>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</si>
  <si>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</si>
  <si>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</si>
  <si>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</si>
  <si>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</si>
  <si>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</si>
  <si>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</si>
  <si>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</si>
  <si>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</si>
  <si>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</si>
  <si>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</si>
  <si>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</si>
  <si>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</si>
  <si>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</si>
  <si>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</si>
  <si>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</si>
  <si>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</si>
  <si>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</si>
  <si>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</si>
  <si>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</si>
  <si>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</si>
  <si>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</si>
  <si>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</si>
  <si>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</si>
  <si>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</si>
  <si>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</si>
  <si>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</si>
  <si>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</si>
  <si>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</si>
  <si>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</si>
  <si>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</si>
  <si>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</si>
  <si>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</si>
  <si>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</si>
  <si>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</si>
  <si>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</si>
  <si>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</si>
  <si>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</si>
  <si>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</si>
  <si>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</si>
  <si>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</si>
  <si>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</si>
  <si>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</si>
  <si>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</si>
  <si>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</si>
  <si>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</si>
  <si>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</si>
  <si>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</si>
  <si>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</si>
  <si>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</si>
  <si>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</si>
  <si>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</si>
  <si>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</si>
  <si>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</si>
  <si>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</si>
  <si>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</si>
  <si>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</si>
  <si>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</si>
  <si>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</si>
  <si>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</si>
  <si>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</si>
  <si>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</si>
  <si>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</si>
  <si>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</si>
  <si>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</si>
  <si>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</si>
  <si>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</si>
  <si>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</si>
  <si>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</si>
  <si>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</si>
  <si>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</si>
  <si>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</si>
  <si>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</si>
  <si>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</si>
  <si>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</si>
  <si>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</si>
  <si>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</si>
  <si>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</si>
  <si>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</si>
  <si>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</si>
  <si>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</si>
  <si>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</si>
  <si>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</si>
  <si>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</si>
  <si>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</si>
  <si>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</si>
  <si>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</si>
  <si>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</si>
  <si>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</si>
  <si>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</si>
  <si>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</si>
  <si>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</si>
  <si>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</si>
  <si>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</si>
  <si>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</si>
  <si>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</si>
  <si>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</si>
  <si>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</si>
  <si>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</si>
  <si>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</si>
  <si>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</si>
  <si>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</si>
  <si>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</si>
  <si>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</si>
  <si>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</si>
  <si>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</si>
  <si>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</si>
  <si>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</si>
  <si>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</si>
  <si>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</si>
  <si>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</si>
  <si>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</si>
  <si>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</si>
  <si>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</si>
  <si>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</si>
  <si>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</si>
  <si>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</si>
  <si>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</si>
  <si>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</si>
  <si>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</si>
  <si>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</si>
  <si>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</si>
  <si>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</si>
  <si>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</si>
  <si>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</si>
  <si>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</si>
  <si>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</si>
  <si>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</si>
  <si>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</si>
  <si>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</si>
  <si>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</si>
  <si>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</si>
  <si>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</si>
  <si>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</si>
  <si>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</si>
  <si>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</si>
  <si>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</si>
  <si>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</si>
  <si>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</si>
  <si>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</si>
  <si>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</si>
  <si>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</si>
  <si>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</si>
  <si>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</si>
  <si>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</si>
  <si>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</si>
  <si>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</si>
  <si>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</si>
  <si>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</si>
  <si>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</si>
  <si>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</si>
  <si>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</si>
  <si>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</si>
  <si>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</si>
  <si>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</si>
  <si>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</si>
  <si>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</si>
  <si>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</si>
  <si>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</si>
  <si>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</si>
  <si>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</si>
  <si>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</si>
  <si>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</si>
  <si>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</si>
  <si>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</si>
  <si>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</si>
  <si>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</si>
  <si>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</si>
  <si>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</si>
  <si>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</si>
  <si>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</si>
  <si>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</si>
  <si>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</si>
  <si>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</si>
  <si>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</si>
  <si>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</si>
  <si>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</si>
  <si>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</si>
  <si>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</si>
  <si>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</si>
  <si>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</si>
  <si>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</si>
  <si>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</si>
  <si>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</si>
  <si>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</si>
  <si>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</si>
  <si>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</si>
  <si>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</si>
  <si>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</si>
  <si>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</si>
  <si>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</si>
  <si>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</si>
  <si>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</si>
  <si>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</si>
  <si>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</si>
  <si>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</si>
  <si>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</si>
  <si>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</si>
  <si>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</si>
  <si>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</si>
  <si>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</si>
  <si>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</si>
  <si>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</si>
  <si>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</si>
  <si>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</si>
  <si>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</si>
  <si>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</si>
  <si>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</si>
  <si>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</si>
  <si>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</si>
  <si>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</si>
  <si>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</si>
  <si>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</si>
  <si>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</si>
  <si>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</si>
  <si>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</si>
  <si>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</si>
  <si>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</si>
  <si>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</si>
  <si>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</si>
  <si>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</si>
  <si>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</si>
  <si>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</si>
  <si>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</si>
  <si>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</si>
  <si>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</si>
  <si>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</si>
  <si>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</si>
  <si>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</si>
  <si>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</si>
  <si>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</si>
  <si>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</si>
  <si>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</si>
  <si>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</si>
  <si>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</si>
  <si>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</si>
  <si>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</si>
  <si>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</si>
  <si>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</si>
  <si>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</si>
  <si>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</si>
  <si>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</si>
  <si>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</si>
  <si>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</si>
  <si>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</si>
  <si>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</si>
  <si>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</si>
  <si>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</si>
  <si>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</si>
  <si>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</si>
  <si>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</si>
  <si>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</si>
  <si>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</si>
  <si>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</si>
  <si>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</si>
  <si>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</si>
  <si>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</si>
  <si>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</si>
  <si>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</si>
  <si>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</si>
  <si>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</si>
  <si>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</si>
  <si>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</si>
  <si>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</si>
  <si>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</si>
  <si>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</si>
  <si>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</si>
  <si>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</si>
  <si>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</si>
  <si>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</si>
  <si>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</si>
  <si>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</si>
  <si>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</si>
  <si>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</si>
  <si>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</si>
  <si>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</si>
  <si>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</si>
  <si>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</si>
  <si>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</si>
  <si>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</si>
  <si>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</si>
  <si>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</si>
  <si>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</si>
  <si>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</si>
  <si>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</si>
  <si>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</si>
  <si>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</si>
  <si>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</si>
  <si>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</si>
  <si>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</si>
  <si>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</si>
  <si>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</si>
  <si>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</si>
  <si>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</si>
  <si>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</si>
  <si>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</si>
  <si>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</si>
  <si>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</si>
  <si>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</si>
  <si>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</si>
  <si>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</si>
  <si>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</si>
  <si>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</si>
  <si>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</si>
  <si>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</si>
  <si>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</si>
  <si>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</si>
  <si>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</si>
  <si>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</si>
  <si>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</si>
  <si>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</si>
  <si>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</si>
  <si>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</si>
  <si>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</si>
  <si>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</si>
  <si>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</si>
  <si>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</si>
  <si>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</si>
  <si>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</si>
  <si>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</si>
  <si>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</si>
  <si>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</si>
  <si>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</si>
  <si>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</si>
  <si>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</si>
  <si>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</si>
  <si>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</si>
  <si>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</si>
  <si>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</si>
  <si>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</si>
  <si>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</si>
  <si>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</si>
  <si>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</si>
  <si>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</si>
  <si>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</si>
  <si>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</si>
  <si>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</si>
  <si>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</si>
  <si>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</si>
  <si>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</si>
  <si>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</si>
  <si>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</si>
  <si>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</si>
  <si>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</si>
  <si>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</si>
  <si>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</si>
  <si>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</si>
  <si>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</si>
  <si>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</si>
  <si>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</si>
  <si>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</si>
  <si>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</si>
  <si>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</si>
  <si>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</si>
  <si>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</si>
  <si>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</si>
  <si>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</si>
  <si>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</si>
  <si>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</si>
  <si>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</si>
  <si>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</si>
  <si>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</si>
  <si>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</si>
  <si>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</si>
  <si>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</si>
  <si>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</si>
  <si>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</si>
  <si>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</si>
  <si>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</si>
  <si>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</si>
  <si>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</si>
  <si>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</si>
  <si>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</si>
  <si>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</si>
  <si>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</si>
  <si>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</si>
  <si>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</si>
  <si>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</si>
  <si>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</si>
  <si>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</si>
  <si>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</si>
  <si>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</si>
  <si>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</si>
  <si>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</si>
  <si>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</si>
  <si>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</si>
  <si>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</si>
  <si>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</si>
  <si>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</si>
  <si>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</si>
  <si>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</si>
  <si>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</si>
  <si>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</si>
  <si>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</si>
  <si>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</si>
  <si>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</si>
  <si>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</si>
  <si>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</si>
  <si>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</si>
  <si>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</si>
  <si>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</si>
  <si>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</si>
  <si>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</si>
  <si>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</si>
  <si>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</si>
  <si>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</si>
  <si>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</si>
  <si>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</si>
  <si>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</si>
  <si>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</si>
  <si>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</si>
  <si>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</si>
  <si>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</si>
  <si>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</si>
  <si>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</si>
  <si>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</si>
  <si>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</si>
  <si>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</si>
  <si>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</si>
  <si>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</si>
  <si>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</si>
  <si>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</si>
  <si>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</si>
  <si>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</si>
  <si>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</si>
  <si>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</si>
  <si>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</si>
  <si>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</si>
  <si>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</si>
  <si>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</si>
  <si>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</si>
  <si>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</si>
  <si>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</si>
  <si>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</si>
  <si>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</si>
  <si>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</si>
  <si>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</si>
  <si>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</si>
  <si>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</si>
  <si>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</si>
  <si>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</si>
  <si>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</si>
  <si>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</si>
  <si>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</si>
  <si>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</si>
  <si>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</si>
  <si>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</si>
  <si>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</si>
  <si>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</si>
  <si>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</si>
  <si>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</si>
  <si>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</si>
  <si>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</si>
  <si>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</si>
  <si>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</si>
  <si>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</si>
  <si>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</si>
  <si>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</si>
  <si>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</si>
  <si>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</si>
  <si>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</si>
  <si>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</si>
  <si>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</si>
  <si>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</si>
  <si>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</si>
  <si>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</si>
  <si>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</si>
  <si>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</si>
  <si>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</si>
  <si>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</si>
  <si>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</si>
  <si>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</si>
  <si>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</si>
  <si>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</si>
  <si>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</si>
  <si>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</si>
  <si>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</si>
  <si>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</si>
  <si>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</si>
  <si>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</si>
  <si>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</si>
  <si>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</si>
  <si>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</si>
  <si>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</si>
  <si>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</si>
  <si>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</si>
  <si>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</si>
  <si>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</si>
  <si>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</si>
  <si>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</si>
  <si>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</si>
  <si>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</si>
  <si>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</si>
  <si>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</si>
  <si>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</si>
  <si>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</si>
  <si>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</si>
  <si>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</si>
  <si>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</si>
  <si>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</si>
  <si>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</si>
  <si>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</si>
  <si>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</si>
  <si>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</si>
  <si>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</si>
  <si>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</si>
  <si>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</si>
  <si>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</si>
  <si>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</si>
  <si>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</si>
  <si>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</si>
  <si>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</si>
  <si>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</si>
  <si>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</si>
  <si>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</si>
  <si>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</si>
  <si>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</si>
  <si>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</si>
  <si>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</si>
  <si>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</si>
  <si>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</si>
  <si>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</si>
  <si>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</si>
  <si>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</si>
  <si>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</si>
  <si>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</si>
  <si>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</si>
  <si>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</si>
  <si>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</si>
  <si>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</si>
  <si>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</si>
  <si>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</si>
  <si>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</si>
  <si>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</si>
  <si>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</si>
  <si>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</si>
  <si>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</si>
  <si>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</si>
  <si>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</si>
  <si>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</si>
  <si>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</si>
  <si>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</si>
  <si>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</si>
  <si>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</si>
  <si>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</si>
  <si>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</si>
  <si>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</si>
  <si>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</si>
  <si>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</si>
  <si>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</si>
  <si>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</si>
  <si>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</si>
  <si>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</si>
  <si>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</si>
  <si>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</si>
  <si>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</si>
  <si>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</si>
  <si>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</si>
  <si>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</si>
  <si>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</si>
  <si>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</si>
  <si>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</si>
  <si>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</si>
  <si>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</si>
  <si>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</si>
  <si>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</si>
  <si>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</si>
  <si>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</si>
  <si>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</si>
  <si>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</si>
  <si>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</si>
  <si>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</si>
  <si>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</si>
  <si>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</si>
  <si>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</si>
  <si>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</si>
  <si>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</si>
  <si>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</si>
  <si>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</si>
  <si>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</si>
  <si>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</si>
  <si>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</si>
  <si>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</si>
  <si>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</si>
  <si>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</si>
  <si>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</si>
  <si>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</si>
  <si>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</si>
  <si>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</si>
  <si>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</si>
  <si>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</si>
  <si>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</si>
  <si>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</si>
  <si>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</si>
  <si>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</si>
  <si>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</si>
  <si>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</si>
  <si>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</si>
  <si>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</si>
  <si>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</si>
  <si>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</si>
  <si>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</si>
  <si>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</si>
  <si>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</si>
  <si>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</si>
  <si>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</si>
  <si>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</si>
  <si>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</si>
  <si>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</si>
  <si>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</si>
  <si>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</si>
  <si>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</si>
  <si>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</si>
  <si>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</si>
  <si>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</si>
  <si>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</si>
  <si>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</si>
  <si>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</si>
  <si>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</si>
  <si>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</si>
  <si>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</si>
  <si>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</si>
  <si>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</si>
  <si>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</si>
  <si>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</si>
  <si>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</si>
  <si>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</si>
  <si>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</si>
  <si>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</si>
  <si>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</si>
  <si>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</si>
  <si>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</si>
  <si>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</si>
  <si>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</si>
  <si>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</si>
  <si>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</si>
  <si>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</si>
  <si>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</si>
  <si>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</si>
  <si>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</si>
  <si>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</si>
  <si>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</si>
  <si>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</si>
  <si>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</si>
  <si>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</si>
  <si>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</si>
  <si>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</si>
  <si>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</si>
  <si>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</si>
  <si>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</si>
  <si>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</si>
  <si>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</si>
  <si>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</si>
  <si>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</si>
  <si>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</si>
  <si>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</si>
  <si>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</si>
  <si>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</si>
  <si>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</si>
  <si>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</si>
  <si>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</si>
  <si>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</si>
  <si>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</si>
  <si>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</si>
  <si>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</si>
  <si>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</si>
  <si>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</si>
  <si>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</si>
  <si>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</si>
  <si>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</si>
  <si>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</si>
  <si>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</si>
  <si>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</si>
  <si>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</si>
  <si>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</si>
  <si>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</si>
  <si>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</si>
  <si>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</si>
  <si>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</si>
  <si>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</si>
  <si>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</si>
  <si>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</si>
  <si>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</si>
  <si>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</si>
  <si>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</si>
  <si>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</si>
  <si>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</si>
  <si>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</si>
  <si>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</si>
  <si>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</si>
  <si>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</si>
  <si>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</si>
  <si>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</si>
  <si>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</si>
  <si>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</si>
  <si>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</si>
  <si>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</si>
  <si>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</si>
  <si>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</si>
  <si>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</si>
  <si>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</si>
  <si>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</si>
  <si>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</si>
  <si>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</si>
  <si>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</si>
  <si>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</si>
  <si>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</si>
  <si>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</si>
  <si>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</si>
  <si>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</si>
  <si>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</si>
  <si>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</si>
  <si>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</si>
  <si>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</si>
  <si>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</si>
  <si>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</si>
  <si>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</si>
  <si>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</si>
  <si>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</si>
  <si>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</si>
  <si>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</si>
  <si>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</si>
  <si>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</si>
  <si>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</si>
  <si>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</si>
  <si>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</si>
  <si>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</si>
  <si>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</si>
  <si>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</si>
  <si>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</si>
  <si>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</si>
  <si>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</si>
  <si>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</si>
  <si>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</si>
  <si>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</si>
  <si>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</si>
  <si>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</si>
  <si>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</si>
  <si>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</si>
  <si>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</si>
  <si>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</si>
  <si>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</si>
  <si>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</si>
  <si>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</si>
  <si>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</si>
  <si>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</si>
  <si>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</si>
  <si>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</si>
  <si>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</si>
  <si>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</si>
  <si>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</si>
  <si>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</si>
  <si>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</si>
  <si>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</si>
  <si>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</si>
  <si>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</si>
  <si>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</si>
  <si>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</si>
  <si>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</si>
  <si>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</si>
  <si>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</si>
  <si>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</si>
  <si>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</si>
  <si>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</si>
  <si>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</si>
  <si>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</si>
  <si>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</si>
  <si>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</si>
  <si>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</si>
  <si>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</si>
  <si>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</si>
  <si>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</si>
  <si>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</si>
  <si>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</si>
  <si>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</si>
  <si>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</si>
  <si>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</si>
  <si>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</si>
  <si>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</si>
  <si>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</si>
  <si>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</si>
  <si>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</si>
  <si>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</si>
  <si>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</si>
  <si>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</si>
  <si>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</si>
  <si>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</si>
  <si>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</si>
  <si>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</si>
  <si>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</si>
  <si>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</si>
  <si>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</si>
  <si>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</si>
  <si>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</si>
  <si>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</si>
  <si>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</si>
  <si>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</si>
  <si>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</si>
  <si>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</si>
  <si>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</si>
  <si>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</si>
  <si>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</si>
  <si>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</si>
  <si>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</si>
  <si>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</si>
  <si>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</si>
  <si>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</si>
  <si>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</si>
  <si>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</si>
  <si>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</si>
  <si>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</si>
  <si>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</si>
  <si>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</si>
  <si>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</si>
  <si>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</si>
  <si>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</si>
  <si>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</si>
  <si>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</si>
  <si>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</si>
  <si>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</si>
  <si>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</si>
  <si>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</si>
  <si>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</si>
  <si>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</si>
  <si>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</si>
  <si>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</si>
  <si>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</si>
  <si>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</si>
  <si>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</si>
  <si>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</si>
  <si>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</si>
  <si>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</si>
  <si>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</si>
  <si>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</si>
  <si>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</si>
  <si>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</si>
  <si>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</si>
  <si>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</si>
  <si>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</si>
  <si>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</si>
  <si>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</si>
  <si>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</si>
  <si>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</si>
  <si>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</si>
  <si>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</si>
  <si>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</si>
  <si>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</si>
  <si>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</si>
  <si>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</si>
  <si>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</si>
  <si>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</si>
  <si>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</si>
  <si>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</si>
  <si>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</si>
  <si>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</si>
  <si>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</si>
  <si>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</si>
  <si>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</si>
  <si>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</si>
  <si>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</si>
  <si>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</si>
  <si>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</si>
  <si>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</si>
  <si>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</si>
  <si>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</si>
  <si>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</si>
  <si>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</si>
  <si>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</si>
  <si>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</si>
  <si>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</si>
  <si>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</si>
  <si>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</si>
  <si>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</si>
  <si>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</si>
  <si>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</si>
  <si>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</si>
  <si>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</si>
  <si>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</si>
  <si>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</si>
  <si>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</si>
  <si>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</si>
  <si>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</si>
  <si>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</si>
  <si>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</si>
  <si>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</si>
  <si>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</si>
  <si>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</si>
  <si>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</si>
  <si>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</si>
  <si>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</si>
  <si>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</si>
  <si>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</si>
  <si>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</si>
  <si>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</si>
  <si>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</si>
  <si>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</si>
  <si>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</si>
  <si>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</si>
  <si>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</si>
  <si>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</si>
  <si>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</si>
  <si>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</si>
  <si>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</si>
  <si>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</si>
  <si>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</si>
  <si>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</si>
  <si>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</si>
  <si>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</si>
  <si>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</si>
  <si>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</si>
  <si>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</si>
  <si>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</si>
  <si>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</si>
  <si>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</si>
  <si>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</si>
  <si>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</si>
  <si>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</si>
  <si>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</si>
  <si>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</si>
  <si>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</si>
  <si>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</si>
  <si>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</si>
  <si>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</si>
  <si>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</si>
  <si>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</si>
  <si>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</si>
  <si>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</si>
  <si>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</si>
  <si>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</si>
  <si>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</si>
  <si>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</si>
  <si>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</si>
  <si>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</si>
  <si>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</si>
  <si>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</si>
  <si>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</si>
  <si>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</si>
  <si>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</si>
  <si>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</si>
  <si>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</si>
  <si>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</si>
  <si>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</si>
  <si>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</si>
  <si>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</si>
  <si>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</si>
  <si>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</si>
  <si>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</si>
  <si>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</si>
  <si>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</si>
  <si>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</si>
  <si>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</si>
  <si>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</si>
  <si>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</si>
  <si>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</si>
  <si>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</si>
  <si>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</si>
  <si>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</si>
  <si>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</si>
  <si>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</si>
  <si>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</si>
  <si>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</si>
  <si>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</si>
  <si>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</si>
  <si>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</si>
  <si>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</si>
  <si>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</si>
  <si>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</si>
  <si>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</si>
  <si>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</si>
  <si>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</si>
  <si>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</si>
  <si>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</si>
  <si>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</si>
  <si>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</si>
  <si>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</si>
  <si>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</si>
  <si>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</si>
  <si>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</si>
  <si>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</si>
  <si>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</si>
  <si>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</si>
  <si>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</si>
  <si>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</si>
  <si>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</si>
  <si>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</si>
  <si>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</si>
  <si>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</si>
  <si>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</si>
  <si>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</si>
  <si>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</si>
  <si>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</si>
  <si>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</si>
  <si>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</si>
  <si>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</si>
  <si>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</si>
  <si>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</si>
  <si>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</si>
  <si>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</si>
  <si>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</si>
  <si>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</si>
  <si>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</si>
  <si>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</si>
  <si>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</si>
  <si>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</si>
  <si>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</si>
  <si>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</si>
  <si>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</si>
  <si>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</si>
  <si>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</si>
  <si>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</si>
  <si>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</si>
  <si>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</si>
  <si>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</si>
  <si>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</si>
  <si>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</si>
  <si>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</si>
  <si>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</si>
  <si>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</si>
  <si>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</si>
  <si>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</si>
  <si>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</si>
  <si>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</si>
  <si>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</si>
  <si>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</si>
  <si>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</si>
  <si>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</si>
  <si>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</si>
  <si>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</si>
  <si>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</si>
  <si>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</si>
  <si>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</si>
  <si>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</si>
  <si>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</si>
  <si>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</si>
  <si>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</si>
  <si>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</si>
  <si>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</si>
  <si>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</si>
  <si>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</si>
  <si>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</si>
  <si>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</si>
  <si>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</si>
  <si>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</si>
  <si>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</si>
  <si>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</si>
  <si>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</si>
  <si>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</si>
  <si>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</si>
  <si>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</si>
  <si>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</si>
  <si>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</si>
  <si>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</si>
  <si>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</si>
  <si>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</si>
  <si>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</si>
  <si>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</si>
  <si>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</si>
  <si>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</si>
  <si>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</si>
  <si>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</si>
  <si>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</si>
  <si>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</si>
  <si>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</si>
  <si>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</si>
  <si>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</si>
  <si>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</si>
  <si>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</si>
  <si>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</si>
  <si>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</si>
  <si>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</si>
  <si>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</si>
  <si>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</si>
  <si>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</si>
  <si>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</si>
  <si>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</si>
  <si>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</si>
  <si>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</si>
  <si>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</si>
  <si>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</si>
  <si>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</si>
  <si>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</si>
  <si>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</si>
  <si>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</si>
  <si>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</si>
  <si>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</si>
  <si>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</si>
  <si>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</si>
  <si>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</si>
  <si>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</si>
  <si>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</si>
  <si>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</si>
  <si>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</si>
  <si>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</si>
  <si>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</si>
  <si>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</si>
  <si>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</si>
  <si>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</si>
  <si>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</si>
  <si>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</si>
  <si>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</si>
  <si>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</si>
  <si>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</si>
  <si>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</si>
  <si>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</si>
  <si>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</si>
  <si>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</si>
  <si>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</si>
  <si>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</si>
  <si>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</si>
  <si>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</si>
  <si>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</si>
  <si>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</si>
  <si>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</si>
  <si>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</si>
  <si>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</si>
  <si>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</si>
  <si>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</si>
  <si>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</si>
  <si>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</si>
  <si>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</si>
  <si>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</si>
  <si>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</si>
  <si>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</si>
  <si>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</si>
  <si>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</si>
  <si>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</si>
  <si>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</si>
  <si>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</si>
  <si>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</si>
  <si>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</si>
  <si>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</si>
  <si>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</si>
  <si>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</si>
  <si>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</si>
  <si>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</si>
  <si>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</si>
  <si>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</si>
  <si>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</si>
  <si>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</si>
  <si>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</si>
  <si>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</si>
  <si>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</si>
  <si>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</si>
  <si>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</si>
  <si>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</si>
  <si>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</si>
  <si>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</si>
  <si>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</si>
  <si>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</si>
  <si>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</si>
  <si>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</si>
  <si>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</si>
  <si>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</si>
  <si>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</si>
  <si>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</si>
  <si>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</si>
  <si>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</si>
  <si>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</si>
  <si>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</si>
  <si>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</si>
  <si>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</si>
  <si>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</si>
  <si>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</si>
  <si>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</si>
  <si>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</si>
  <si>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</si>
  <si>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</si>
  <si>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</si>
  <si>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</si>
  <si>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</si>
  <si>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</si>
  <si>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</si>
  <si>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</si>
  <si>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</si>
  <si>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</si>
  <si>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</si>
  <si>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</si>
  <si>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</si>
  <si>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</si>
  <si>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</si>
  <si>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</si>
  <si>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</si>
  <si>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</si>
  <si>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</si>
  <si>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</si>
  <si>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</si>
  <si>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</si>
  <si>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</si>
  <si>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</si>
  <si>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</si>
  <si>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</si>
  <si>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</si>
  <si>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</si>
  <si>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</si>
  <si>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</si>
  <si>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</si>
  <si>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</si>
  <si>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</si>
  <si>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</si>
  <si>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</si>
  <si>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</si>
  <si>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</si>
  <si>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</si>
  <si>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</si>
  <si>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</si>
  <si>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</si>
  <si>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</si>
  <si>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</si>
  <si>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</si>
  <si>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</si>
  <si>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</si>
  <si>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</si>
  <si>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</si>
  <si>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</si>
  <si>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</si>
  <si>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</si>
  <si>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</si>
  <si>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</si>
  <si>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</si>
  <si>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</si>
  <si>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</si>
  <si>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</si>
  <si>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</si>
  <si>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</si>
  <si>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</si>
  <si>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</si>
  <si>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</si>
  <si>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</si>
  <si>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</si>
  <si>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</si>
  <si>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</si>
  <si>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</si>
  <si>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</si>
  <si>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</si>
  <si>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</si>
  <si>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</si>
  <si>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</si>
  <si>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</si>
  <si>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</si>
  <si>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</si>
  <si>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</si>
  <si>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</si>
  <si>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</si>
  <si>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</si>
  <si>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</si>
  <si>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</si>
  <si>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</si>
  <si>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</si>
  <si>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</si>
  <si>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</si>
  <si>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</si>
  <si>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</si>
  <si>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</si>
  <si>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</si>
  <si>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</si>
  <si>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</si>
  <si>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</si>
  <si>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</si>
  <si>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</si>
  <si>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</si>
  <si>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</si>
  <si>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</si>
  <si>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</si>
  <si>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</si>
  <si>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</si>
  <si>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</si>
  <si>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</si>
  <si>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</si>
  <si>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</si>
  <si>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</si>
  <si>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</si>
  <si>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</si>
  <si>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</si>
  <si>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</si>
  <si>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</si>
  <si>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</si>
  <si>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</si>
  <si>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</si>
  <si>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</si>
  <si>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</si>
  <si>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</si>
  <si>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</si>
  <si>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</si>
  <si>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</si>
  <si>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</si>
  <si>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</si>
  <si>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</si>
  <si>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</si>
  <si>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</si>
  <si>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</si>
  <si>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</si>
  <si>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</si>
  <si>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</si>
  <si>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</si>
  <si>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</si>
  <si>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</si>
  <si>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</si>
  <si>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</si>
  <si>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</si>
  <si>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</si>
  <si>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</si>
  <si>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</si>
  <si>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</si>
  <si>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</si>
  <si>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</si>
  <si>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</si>
  <si>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</si>
  <si>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</si>
  <si>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</si>
  <si>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</si>
  <si>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</si>
  <si>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</si>
  <si>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</si>
  <si>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</si>
  <si>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</si>
  <si>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</si>
  <si>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</si>
  <si>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</si>
  <si>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</si>
  <si>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</si>
  <si>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</si>
  <si>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</si>
  <si>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</si>
  <si>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</si>
  <si>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</si>
  <si>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</si>
  <si>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</si>
  <si>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</si>
  <si>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</si>
  <si>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</si>
  <si>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</si>
  <si>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</si>
  <si>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</si>
  <si>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</si>
  <si>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</si>
  <si>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</si>
  <si>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</si>
  <si>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</si>
  <si>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</si>
  <si>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</si>
  <si>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</si>
  <si>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</si>
  <si>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</si>
  <si>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</si>
  <si>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</si>
  <si>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</si>
  <si>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</si>
  <si>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</si>
  <si>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</si>
  <si>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</si>
  <si>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</si>
  <si>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</si>
  <si>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</si>
  <si>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</si>
  <si>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</si>
  <si>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</si>
  <si>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</si>
  <si>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</si>
  <si>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</si>
  <si>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</si>
  <si>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</si>
  <si>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</si>
  <si>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</si>
  <si>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</si>
  <si>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</si>
  <si>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</si>
  <si>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</si>
  <si>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</si>
  <si>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</si>
  <si>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</si>
  <si>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</si>
  <si>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</si>
  <si>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</si>
  <si>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</si>
  <si>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</si>
  <si>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</si>
  <si>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</si>
  <si>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</si>
  <si>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</si>
  <si>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</si>
  <si>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</si>
  <si>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</si>
  <si>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</si>
  <si>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</si>
  <si>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</si>
  <si>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</si>
  <si>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</si>
  <si>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</si>
  <si>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</si>
  <si>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</si>
  <si>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</si>
  <si>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</si>
  <si>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</si>
  <si>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</si>
  <si>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</si>
  <si>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</si>
  <si>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</si>
  <si>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</si>
  <si>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</si>
  <si>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</si>
  <si>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</si>
  <si>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</si>
  <si>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</si>
  <si>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</si>
  <si>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</si>
  <si>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</si>
  <si>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</si>
  <si>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</si>
  <si>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</si>
  <si>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</si>
  <si>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</si>
  <si>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</si>
  <si>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</si>
  <si>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</si>
  <si>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</si>
  <si>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</si>
  <si>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</si>
  <si>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</si>
  <si>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</si>
  <si>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</si>
  <si>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</si>
  <si>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</si>
  <si>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</si>
  <si>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</si>
  <si>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</si>
  <si>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</si>
  <si>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</si>
  <si>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</si>
  <si>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</si>
  <si>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</si>
  <si>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</si>
  <si>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</si>
  <si>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</si>
  <si>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</si>
  <si>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</si>
  <si>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</si>
  <si>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</si>
  <si>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</si>
  <si>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</si>
  <si>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</si>
  <si>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</si>
  <si>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</si>
  <si>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</si>
  <si>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</si>
  <si>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</si>
  <si>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</si>
  <si>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</si>
  <si>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</si>
  <si>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</si>
  <si>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</si>
  <si>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</si>
  <si>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</si>
  <si>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</si>
  <si>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</si>
  <si>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</si>
  <si>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</si>
  <si>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</si>
  <si>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</si>
  <si>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</si>
  <si>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</si>
  <si>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</si>
  <si>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</si>
  <si>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</si>
  <si>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</si>
  <si>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</si>
  <si>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</si>
  <si>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</si>
  <si>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</si>
  <si>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</si>
  <si>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</si>
  <si>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</si>
  <si>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</si>
  <si>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</si>
  <si>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</si>
  <si>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</si>
  <si>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</si>
  <si>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</si>
  <si>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</si>
  <si>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</si>
  <si>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</si>
  <si>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</si>
  <si>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</si>
  <si>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</si>
  <si>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</si>
  <si>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</si>
  <si>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</si>
  <si>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</si>
  <si>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</si>
  <si>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</si>
  <si>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</si>
  <si>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</si>
  <si>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</si>
  <si>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</si>
  <si>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</si>
  <si>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</si>
  <si>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</si>
  <si>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</si>
  <si>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</si>
  <si>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</si>
  <si>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</si>
  <si>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</si>
  <si>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</si>
  <si>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</si>
  <si>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</si>
  <si>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</si>
  <si>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</si>
  <si>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</si>
  <si>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</si>
  <si>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</si>
  <si>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</si>
  <si>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</si>
  <si>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</si>
  <si>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</si>
  <si>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</si>
  <si>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</si>
  <si>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</si>
  <si>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</si>
  <si>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</si>
  <si>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</si>
  <si>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</si>
  <si>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</si>
  <si>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</si>
  <si>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</si>
  <si>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</si>
  <si>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</si>
  <si>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</si>
  <si>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</si>
  <si>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</si>
  <si>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</si>
  <si>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</si>
  <si>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</si>
  <si>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</si>
  <si>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</si>
  <si>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</si>
  <si>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</si>
  <si>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</si>
  <si>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</si>
  <si>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</si>
  <si>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</si>
  <si>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</si>
  <si>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</si>
  <si>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</si>
  <si>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</si>
  <si>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</si>
  <si>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</si>
  <si>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</si>
  <si>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</si>
  <si>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</si>
  <si>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</si>
  <si>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</si>
  <si>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</si>
  <si>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</si>
  <si>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</si>
  <si>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</si>
  <si>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</si>
  <si>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</si>
  <si>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</si>
  <si>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</si>
  <si>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</si>
  <si>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</si>
  <si>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</si>
  <si>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</si>
  <si>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</si>
  <si>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</si>
  <si>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</si>
  <si>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</si>
  <si>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</si>
  <si>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</si>
  <si>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</si>
  <si>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</si>
  <si>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</si>
  <si>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</si>
  <si>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</si>
  <si>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</si>
  <si>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</si>
  <si>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</si>
  <si>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</si>
  <si>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</si>
  <si>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</si>
  <si>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</si>
  <si>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</si>
  <si>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</si>
  <si>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</si>
  <si>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</si>
  <si>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</si>
  <si>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</si>
  <si>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</si>
  <si>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</si>
  <si>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</si>
  <si>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</si>
  <si>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</si>
  <si>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</si>
  <si>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</si>
  <si>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</si>
  <si>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</si>
  <si>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</si>
  <si>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</si>
  <si>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</si>
  <si>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</si>
  <si>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</si>
  <si>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</si>
  <si>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</si>
  <si>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</si>
  <si>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</si>
  <si>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</si>
  <si>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</si>
  <si>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</si>
  <si>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</si>
  <si>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</si>
  <si>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</si>
  <si>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</si>
  <si>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</si>
  <si>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</si>
  <si>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</si>
  <si>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</si>
  <si>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</si>
  <si>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</si>
  <si>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</si>
  <si>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</si>
  <si>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</si>
  <si>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</si>
  <si>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</si>
  <si>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</si>
  <si>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</si>
  <si>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</si>
  <si>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</si>
  <si>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</si>
  <si>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</si>
  <si>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</si>
  <si>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</si>
  <si>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</si>
  <si>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</si>
  <si>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</si>
  <si>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</si>
  <si>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</si>
  <si>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</si>
  <si>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</si>
  <si>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</si>
  <si>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</si>
  <si>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</si>
  <si>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</si>
  <si>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</si>
  <si>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</si>
  <si>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</si>
  <si>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</si>
  <si>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</si>
  <si>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</si>
  <si>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</si>
  <si>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</si>
  <si>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</si>
  <si>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</si>
  <si>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</si>
  <si>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</si>
  <si>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</si>
  <si>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</si>
  <si>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</si>
  <si>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</si>
  <si>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</si>
  <si>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</si>
  <si>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</si>
  <si>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</si>
  <si>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</si>
  <si>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</si>
  <si>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</si>
  <si>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</si>
  <si>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</si>
  <si>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</si>
  <si>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</si>
  <si>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</si>
  <si>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</si>
  <si>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</si>
  <si>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</si>
  <si>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</si>
  <si>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</si>
  <si>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</si>
  <si>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</si>
  <si>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</si>
  <si>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</si>
  <si>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</si>
  <si>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</si>
  <si>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</si>
  <si>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</si>
  <si>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</si>
  <si>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</si>
  <si>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</si>
  <si>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</si>
  <si>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</si>
  <si>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</si>
  <si>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</si>
  <si>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</si>
  <si>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</si>
  <si>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</si>
  <si>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</si>
  <si>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</si>
  <si>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</si>
  <si>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</si>
  <si>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</si>
  <si>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</si>
  <si>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</si>
  <si>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</si>
  <si>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</si>
  <si>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</si>
  <si>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</si>
  <si>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</si>
  <si>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</si>
  <si>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</si>
  <si>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</si>
  <si>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</si>
  <si>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</si>
  <si>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</si>
  <si>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</si>
  <si>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</si>
  <si>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</si>
  <si>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</si>
  <si>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</si>
  <si>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</si>
  <si>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</si>
  <si>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</si>
  <si>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</si>
  <si>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</si>
  <si>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</si>
  <si>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</si>
  <si>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</si>
  <si>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</si>
  <si>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</si>
  <si>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</si>
  <si>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</si>
  <si>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</si>
  <si>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</si>
  <si>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</si>
  <si>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</si>
  <si>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</si>
  <si>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</si>
  <si>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</si>
  <si>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</si>
  <si>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</si>
  <si>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</si>
  <si>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</si>
  <si>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</si>
  <si>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</si>
  <si>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</si>
  <si>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</si>
  <si>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</si>
  <si>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</si>
  <si>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</si>
  <si>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</si>
  <si>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</si>
  <si>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</si>
  <si>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</si>
  <si>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</si>
  <si>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</si>
  <si>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</si>
  <si>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</si>
  <si>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</si>
  <si>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</si>
  <si>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</si>
  <si>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</si>
  <si>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</si>
  <si>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</si>
  <si>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</si>
  <si>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</si>
  <si>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</si>
  <si>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</si>
  <si>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</si>
  <si>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</si>
  <si>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</si>
  <si>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</si>
  <si>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</si>
  <si>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</si>
  <si>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</si>
  <si>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</si>
  <si>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</si>
  <si>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</si>
  <si>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</si>
  <si>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</si>
  <si>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</si>
  <si>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</si>
  <si>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</si>
  <si>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</si>
  <si>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</si>
  <si>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</si>
  <si>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</si>
  <si>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</si>
  <si>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</si>
  <si>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</si>
  <si>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</si>
  <si>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</si>
  <si>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</si>
  <si>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</si>
  <si>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</si>
  <si>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</si>
  <si>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</si>
  <si>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</si>
  <si>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</si>
  <si>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</si>
  <si>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</si>
  <si>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</si>
  <si>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</si>
  <si>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</si>
  <si>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</si>
  <si>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</si>
  <si>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</si>
  <si>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</si>
  <si>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</si>
  <si>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</si>
  <si>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</si>
  <si>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</si>
  <si>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</si>
  <si>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</si>
  <si>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</si>
  <si>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</si>
  <si>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</si>
  <si>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</si>
  <si>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</si>
  <si>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</si>
  <si>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</si>
  <si>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</si>
  <si>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</si>
  <si>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</si>
  <si>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</si>
  <si>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</si>
  <si>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</si>
  <si>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</si>
  <si>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</si>
  <si>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</si>
  <si>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</si>
  <si>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</si>
  <si>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</si>
  <si>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</si>
  <si>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</si>
  <si>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</si>
  <si>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</si>
  <si>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</si>
  <si>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</si>
  <si>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</si>
  <si>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</si>
  <si>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</si>
  <si>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</si>
  <si>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</si>
  <si>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</si>
  <si>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</si>
  <si>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</si>
  <si>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</si>
  <si>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</si>
  <si>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</si>
  <si>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</si>
  <si>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</si>
  <si>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</si>
  <si>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</si>
  <si>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</si>
  <si>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</si>
  <si>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</si>
  <si>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</si>
  <si>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</si>
  <si>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</si>
  <si>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</si>
  <si>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</si>
  <si>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</si>
  <si>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</si>
  <si>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</si>
  <si>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</si>
  <si>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</si>
  <si>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</si>
  <si>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</si>
  <si>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</si>
  <si>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</si>
  <si>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</si>
  <si>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</si>
  <si>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</si>
  <si>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</si>
  <si>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</si>
  <si>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</si>
  <si>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</si>
  <si>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</si>
  <si>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</si>
  <si>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</si>
  <si>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</si>
  <si>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</si>
  <si>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</si>
  <si>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</si>
  <si>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</si>
  <si>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</si>
  <si>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</si>
  <si>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</si>
  <si>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</si>
  <si>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</si>
  <si>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</si>
  <si>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</si>
  <si>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</si>
  <si>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</si>
  <si>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</si>
  <si>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</si>
  <si>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</si>
  <si>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</si>
  <si>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</si>
  <si>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</si>
  <si>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</si>
  <si>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</si>
  <si>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</si>
  <si>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</si>
  <si>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</si>
  <si>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</si>
  <si>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</si>
  <si>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</si>
  <si>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</si>
  <si>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</si>
  <si>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</si>
  <si>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</si>
  <si>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</si>
  <si>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</si>
  <si>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</si>
  <si>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</si>
  <si>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</si>
  <si>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</si>
  <si>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</si>
  <si>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</si>
  <si>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</si>
  <si>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</si>
  <si>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</si>
  <si>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</si>
  <si>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</si>
  <si>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</si>
  <si>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</si>
  <si>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</si>
  <si>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</si>
  <si>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</si>
  <si>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</si>
  <si>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</si>
  <si>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</si>
  <si>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</si>
  <si>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</si>
  <si>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</si>
  <si>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</si>
  <si>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</si>
  <si>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</si>
  <si>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</si>
  <si>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</si>
  <si>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</si>
  <si>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</si>
  <si>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</si>
  <si>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</si>
  <si>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</si>
  <si>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</si>
  <si>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</si>
  <si>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</si>
  <si>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</si>
  <si>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</si>
  <si>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</si>
  <si>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</si>
  <si>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</si>
  <si>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</si>
  <si>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</si>
  <si>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</si>
  <si>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</si>
  <si>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</si>
  <si>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</si>
  <si>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</si>
  <si>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</si>
  <si>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</si>
  <si>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</si>
  <si>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</si>
  <si>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</si>
  <si>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</si>
  <si>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</si>
  <si>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</si>
  <si>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</si>
  <si>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</si>
  <si>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</si>
  <si>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</si>
  <si>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</si>
  <si>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</si>
  <si>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</si>
  <si>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</si>
  <si>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</si>
  <si>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</si>
  <si>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</si>
  <si>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</si>
  <si>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</si>
  <si>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</si>
  <si>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</si>
  <si>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</si>
  <si>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</si>
  <si>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</si>
  <si>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</si>
  <si>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</si>
  <si>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</si>
  <si>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</si>
  <si>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</si>
  <si>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</si>
  <si>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</si>
  <si>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</si>
  <si>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</si>
  <si>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</si>
  <si>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</si>
  <si>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</si>
  <si>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</si>
  <si>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</si>
  <si>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</si>
  <si>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</si>
  <si>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</si>
  <si>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</si>
  <si>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</si>
  <si>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</si>
  <si>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</si>
  <si>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</si>
  <si>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</si>
  <si>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</si>
  <si>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</si>
  <si>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</si>
  <si>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</si>
  <si>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</si>
  <si>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</si>
  <si>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</si>
  <si>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</si>
  <si>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</si>
  <si>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</si>
  <si>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</si>
  <si>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</si>
  <si>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</si>
  <si>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</si>
  <si>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</si>
  <si>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</si>
  <si>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</si>
  <si>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</si>
  <si>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</si>
  <si>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</si>
  <si>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</si>
  <si>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</si>
  <si>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</si>
  <si>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</si>
  <si>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</si>
  <si>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</si>
  <si>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</si>
  <si>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</si>
  <si>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</si>
  <si>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</si>
  <si>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</si>
  <si>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</si>
  <si>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</si>
  <si>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</si>
  <si>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</si>
  <si>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</si>
  <si>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</si>
  <si>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</si>
  <si>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</si>
  <si>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</si>
  <si>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</si>
  <si>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</si>
  <si>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</si>
  <si>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</si>
  <si>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</si>
  <si>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</si>
  <si>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</si>
  <si>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</si>
  <si>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</si>
  <si>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</si>
  <si>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</si>
  <si>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</si>
  <si>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</si>
  <si>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</si>
  <si>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</si>
  <si>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</si>
  <si>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</si>
  <si>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</si>
  <si>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</si>
  <si>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</si>
  <si>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</si>
  <si>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</si>
  <si>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</si>
  <si>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</si>
  <si>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</si>
  <si>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</si>
  <si>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</si>
  <si>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</si>
  <si>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</si>
  <si>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</si>
  <si>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</si>
  <si>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</si>
  <si>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</si>
  <si>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</si>
  <si>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</si>
  <si>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</si>
  <si>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</si>
  <si>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</si>
  <si>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</si>
  <si>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</si>
  <si>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</si>
  <si>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</si>
  <si>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</si>
  <si>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</si>
  <si>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</si>
  <si>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</si>
  <si>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</si>
  <si>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</si>
  <si>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</si>
  <si>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</si>
  <si>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</si>
  <si>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</si>
  <si>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</si>
  <si>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</si>
  <si>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</si>
  <si>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</si>
  <si>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</si>
  <si>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</si>
  <si>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</si>
  <si>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</si>
  <si>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</si>
  <si>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</si>
  <si>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</si>
  <si>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</si>
  <si>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</si>
  <si>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</si>
  <si>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</si>
  <si>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</si>
  <si>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</si>
  <si>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</si>
  <si>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</si>
  <si>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</si>
  <si>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</si>
  <si>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</si>
  <si>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</si>
  <si>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</si>
  <si>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</si>
  <si>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</si>
  <si>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</si>
  <si>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</si>
  <si>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</si>
  <si>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</si>
  <si>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</si>
  <si>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</si>
  <si>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</si>
  <si>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</si>
  <si>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</si>
  <si>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</si>
  <si>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</si>
  <si>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</si>
  <si>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</si>
  <si>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</si>
  <si>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</si>
  <si>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</si>
  <si>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</si>
  <si>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</si>
  <si>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</si>
  <si>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</si>
  <si>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</si>
  <si>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</si>
  <si>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</si>
  <si>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</si>
  <si>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</si>
  <si>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</si>
  <si>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</si>
  <si>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</si>
  <si>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</si>
  <si>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</si>
  <si>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</si>
  <si>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</si>
  <si>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</si>
  <si>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</si>
  <si>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</si>
  <si>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</si>
  <si>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</si>
  <si>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</si>
  <si>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</si>
  <si>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</si>
  <si>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</si>
  <si>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</si>
  <si>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</si>
  <si>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</si>
  <si>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</si>
  <si>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</si>
  <si>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</si>
  <si>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</si>
  <si>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</si>
  <si>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</si>
  <si>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</si>
  <si>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</si>
  <si>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</si>
  <si>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</si>
  <si>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</si>
  <si>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</si>
  <si>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</si>
  <si>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</si>
  <si>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</si>
  <si>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</si>
  <si>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</si>
  <si>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</si>
  <si>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</si>
  <si>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</si>
  <si>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</si>
  <si>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</si>
  <si>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</si>
  <si>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</si>
  <si>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</si>
  <si>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</si>
  <si>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</si>
  <si>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</si>
  <si>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</si>
  <si>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</si>
  <si>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</si>
  <si>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</si>
  <si>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</si>
  <si>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</si>
  <si>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</si>
  <si>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</si>
  <si>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</si>
  <si>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</si>
  <si>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</si>
  <si>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</si>
  <si>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</si>
  <si>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</si>
  <si>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</si>
  <si>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</si>
  <si>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</si>
  <si>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</si>
  <si>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</si>
  <si>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</si>
  <si>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</si>
  <si>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</si>
  <si>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</si>
  <si>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</si>
  <si>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</si>
  <si>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</si>
  <si>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</si>
  <si>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</si>
  <si>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</si>
  <si>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</si>
  <si>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</si>
  <si>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</si>
  <si>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</si>
  <si>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</si>
  <si>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</si>
  <si>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</si>
  <si>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</si>
  <si>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</si>
  <si>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</si>
  <si>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</si>
  <si>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</si>
  <si>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</si>
  <si>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</si>
  <si>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</si>
  <si>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</si>
  <si>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</si>
  <si>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</si>
  <si>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</si>
  <si>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</si>
  <si>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</si>
  <si>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</si>
  <si>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</si>
  <si>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</si>
  <si>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</si>
  <si>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</si>
  <si>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</si>
  <si>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</si>
  <si>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</si>
  <si>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</si>
  <si>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</si>
  <si>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</si>
  <si>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</si>
  <si>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</si>
  <si>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</si>
  <si>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</si>
  <si>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</si>
  <si>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</si>
  <si>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</si>
  <si>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</si>
  <si>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</si>
  <si>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</si>
  <si>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</si>
  <si>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</si>
  <si>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</si>
  <si>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</si>
  <si>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</si>
  <si>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</si>
  <si>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</si>
  <si>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</si>
  <si>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</si>
  <si>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</si>
  <si>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</si>
  <si>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</si>
  <si>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</si>
  <si>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</si>
  <si>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</si>
  <si>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</si>
  <si>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</si>
  <si>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</si>
  <si>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</si>
  <si>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</si>
  <si>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</si>
  <si>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</si>
  <si>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</si>
  <si>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</si>
  <si>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</si>
  <si>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</si>
  <si>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</si>
  <si>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</si>
  <si>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</si>
  <si>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</si>
  <si>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</si>
  <si>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</si>
  <si>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</si>
  <si>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</si>
  <si>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</si>
  <si>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</si>
  <si>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</si>
  <si>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</si>
  <si>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</si>
  <si>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</si>
  <si>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</si>
  <si>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</si>
  <si>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</si>
  <si>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</si>
  <si>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</si>
  <si>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</si>
  <si>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</si>
  <si>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</si>
  <si>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</si>
  <si>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</si>
  <si>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</si>
  <si>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</si>
  <si>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</si>
  <si>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</si>
  <si>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</si>
  <si>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</si>
  <si>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</si>
  <si>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</si>
  <si>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</si>
  <si>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</si>
  <si>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</si>
  <si>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</si>
  <si>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</si>
  <si>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</si>
  <si>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</si>
  <si>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</si>
  <si>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</si>
  <si>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</si>
  <si>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</si>
  <si>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</si>
  <si>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</si>
  <si>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</si>
  <si>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</si>
  <si>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</si>
  <si>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</si>
  <si>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</si>
  <si>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</si>
  <si>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</si>
  <si>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</si>
  <si>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</si>
  <si>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</si>
  <si>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</si>
  <si>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</si>
  <si>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</si>
  <si>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</si>
  <si>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</si>
  <si>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</si>
  <si>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</si>
  <si>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</si>
  <si>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</si>
  <si>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</si>
  <si>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</si>
  <si>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</si>
  <si>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</si>
  <si>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</si>
  <si>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</si>
  <si>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</si>
  <si>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</si>
  <si>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</si>
  <si>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</si>
  <si>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</si>
  <si>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</si>
  <si>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</si>
  <si>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</si>
  <si>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</si>
  <si>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</si>
  <si>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</si>
  <si>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</si>
  <si>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</si>
  <si>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</si>
  <si>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</si>
  <si>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</si>
  <si>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</si>
  <si>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</si>
  <si>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</si>
  <si>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</si>
  <si>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</si>
  <si>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</si>
  <si>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</si>
  <si>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</si>
  <si>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</si>
  <si>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</si>
  <si>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</si>
  <si>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</si>
  <si>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</si>
  <si>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</si>
  <si>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</si>
  <si>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</si>
  <si>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</si>
  <si>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</si>
  <si>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</si>
  <si>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</si>
  <si>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</si>
  <si>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</si>
  <si>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</si>
  <si>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</si>
  <si>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</si>
  <si>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</si>
  <si>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</si>
  <si>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</si>
  <si>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</si>
  <si>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</si>
  <si>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</si>
  <si>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</si>
  <si>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</si>
  <si>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</si>
  <si>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</si>
  <si>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</si>
  <si>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</si>
  <si>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</si>
  <si>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</si>
  <si>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</si>
  <si>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</si>
  <si>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</si>
  <si>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</si>
  <si>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</si>
  <si>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</si>
  <si>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</si>
  <si>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</si>
  <si>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</si>
  <si>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</si>
  <si>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</si>
  <si>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</si>
  <si>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</si>
  <si>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</si>
  <si>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</si>
  <si>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</si>
  <si>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</si>
  <si>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</si>
  <si>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</si>
  <si>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</si>
  <si>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040016469</t>
  </si>
  <si>
    <t>07538718933</t>
  </si>
  <si>
    <t>ISTRA d.d.</t>
  </si>
  <si>
    <t>52011850372</t>
  </si>
  <si>
    <t>03203077</t>
  </si>
  <si>
    <t>Narodni trg 10</t>
  </si>
  <si>
    <t>info@ccs.hr</t>
  </si>
  <si>
    <t>01/6666 306</t>
  </si>
  <si>
    <t>IVANA LEGIN</t>
  </si>
  <si>
    <t>KORUGA DUŠKO, LEGIN IVANA</t>
  </si>
  <si>
    <t>www.istra-trgovina.hr</t>
  </si>
</sst>
</file>

<file path=xl/styles.xml><?xml version="1.0" encoding="utf-8"?>
<styleSheet xmlns="http://schemas.openxmlformats.org/spreadsheetml/2006/main">
  <numFmts count="5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HRK&quot;;\-#,##0\ &quot;HRK&quot;"/>
    <numFmt numFmtId="165" formatCode="#,##0\ &quot;HRK&quot;;[Red]\-#,##0\ &quot;HRK&quot;"/>
    <numFmt numFmtId="166" formatCode="#,##0.00\ &quot;HRK&quot;;\-#,##0.00\ &quot;HRK&quot;"/>
    <numFmt numFmtId="167" formatCode="#,##0.00\ &quot;HRK&quot;;[Red]\-#,##0.00\ &quot;HRK&quot;"/>
    <numFmt numFmtId="168" formatCode="_-* #,##0\ &quot;HRK&quot;_-;\-* #,##0\ &quot;HRK&quot;_-;_-* &quot;-&quot;\ &quot;HRK&quot;_-;_-@_-"/>
    <numFmt numFmtId="169" formatCode="_-* #,##0\ _H_R_K_-;\-* #,##0\ _H_R_K_-;_-* &quot;-&quot;\ _H_R_K_-;_-@_-"/>
    <numFmt numFmtId="170" formatCode="_-* #,##0.00\ &quot;HRK&quot;_-;\-* #,##0.00\ &quot;HRK&quot;_-;_-* &quot;-&quot;??\ &quot;HRK&quot;_-;_-@_-"/>
    <numFmt numFmtId="171" formatCode="_-* #,##0.00\ _H_R_K_-;\-* #,##0.00\ _H_R_K_-;_-* &quot;-&quot;??\ _H_R_K_-;_-@_-"/>
    <numFmt numFmtId="172" formatCode="_-* #,##0_-;\-* #,##0_-;_-* &quot;-&quot;_-;_-@_-"/>
    <numFmt numFmtId="173" formatCode="_-* #,##0.00_-;\-* #,##0.00_-;_-* &quot;-&quot;??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_(* #,##0.00_);_(* \(#,##0.00\);_(* &quot;-&quot;??_);_(@_)"/>
    <numFmt numFmtId="187" formatCode="_(* #,##0_);_(* \(#,##0\);_(* &quot;-&quot;_);_(@_)"/>
    <numFmt numFmtId="188" formatCode="_(&quot;$&quot;* #,##0.00_);_(&quot;$&quot;* \(#,##0.00\);_(&quot;$&quot;* &quot;-&quot;??_);_(@_)"/>
    <numFmt numFmtId="189" formatCode="_(&quot;$&quot;* #,##0_);_(&quot;$&quot;* \(#,##0\);_(&quot;$&quot;* &quot;-&quot;_);_(@_)"/>
    <numFmt numFmtId="190" formatCode="#,##0.00&quot; kn&quot;;\-#,##0.00&quot; kn&quot;"/>
    <numFmt numFmtId="191" formatCode="0.0000000000"/>
    <numFmt numFmtId="192" formatCode="00"/>
    <numFmt numFmtId="193" formatCode="0.0"/>
    <numFmt numFmtId="194" formatCode="_ * #,##0.00_-\ _k_n_ ;_ * #,##0.00\-\ _k_n_ ;_ * &quot;-&quot;??_-\ _k_n_ ;_ @_ "/>
    <numFmt numFmtId="195" formatCode="_ * #,##0_-\ _k_n_ ;_ * #,##0\-\ _k_n_ ;_ * &quot;-&quot;_-\ _k_n_ ;_ @_ "/>
    <numFmt numFmtId="196" formatCode="_ * #,##0.00_-\ &quot;kn&quot;_ ;_ * #,##0.00\-\ &quot;kn&quot;_ ;_ * &quot;-&quot;??_-\ &quot;kn&quot;_ ;_ @_ "/>
    <numFmt numFmtId="197" formatCode="_ * #,##0_-\ &quot;kn&quot;_ ;_ * #,##0\-\ &quot;kn&quot;_ ;_ * &quot;-&quot;_-\ &quot;kn&quot;_ ;_ @_ "/>
    <numFmt numFmtId="198" formatCode="#,##0.0"/>
    <numFmt numFmtId="199" formatCode="mm/dd/yy"/>
    <numFmt numFmtId="200" formatCode="[$-41A]d\.\ mmmm\ yyyy"/>
    <numFmt numFmtId="201" formatCode="#0,"/>
    <numFmt numFmtId="202" formatCode="#,"/>
    <numFmt numFmtId="203" formatCode="[$-41A]d\.\ mmmm\ yyyy\."/>
    <numFmt numFmtId="204" formatCode="[$-41A]dd\.\ mmmm\ yyyy\."/>
    <numFmt numFmtId="205" formatCode="&quot;True&quot;;&quot;True&quot;;&quot;False&quot;"/>
    <numFmt numFmtId="206" formatCode="[$¥€-2]\ #,##0.00_);[Red]\([$€-2]\ #,##0.00\)"/>
    <numFmt numFmtId="207" formatCode="&quot;Yes&quot;;&quot;Yes&quot;;&quot;No&quot;"/>
    <numFmt numFmtId="208" formatCode="&quot;On&quot;;&quot;On&quot;;&quot;Off&quot;"/>
    <numFmt numFmtId="209" formatCode="[$€-2]\ #,##0.00_);[Red]\([$€-2]\ #,##0.00\)"/>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b/>
      <sz val="8"/>
      <color indexed="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8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lightGray">
        <fgColor rgb="FFC0C0C0"/>
      </patternFill>
    </fill>
    <fill>
      <patternFill patternType="gray125">
        <fgColor indexed="22"/>
      </patternFill>
    </fill>
    <fill>
      <patternFill patternType="mediumGray">
        <fgColor indexed="22"/>
      </patternFill>
    </fill>
    <fill>
      <patternFill patternType="gray125">
        <fgColor indexed="22"/>
        <bgColor indexed="22"/>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rgb="FF808080"/>
      </left>
      <right>
        <color indexed="63"/>
      </right>
      <top>
        <color indexed="63"/>
      </top>
      <bottom style="thin">
        <color rgb="FF808080"/>
      </bottom>
    </border>
    <border>
      <left>
        <color indexed="63"/>
      </left>
      <right>
        <color indexed="63"/>
      </right>
      <top>
        <color indexed="63"/>
      </top>
      <bottom style="thin">
        <color rgb="FF808080"/>
      </bottom>
    </border>
    <border>
      <left>
        <color indexed="63"/>
      </left>
      <right style="thin">
        <color rgb="FF808080"/>
      </right>
      <top>
        <color indexed="63"/>
      </top>
      <bottom style="thin">
        <color rgb="FF808080"/>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7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7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7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92" fontId="10" fillId="0" borderId="18" xfId="0" applyNumberFormat="1" applyFont="1" applyFill="1" applyBorder="1" applyAlignment="1">
      <alignment horizontal="center" vertical="center"/>
    </xf>
    <xf numFmtId="19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95" fillId="42" borderId="63" xfId="0" applyNumberFormat="1" applyFont="1" applyFill="1" applyBorder="1" applyAlignment="1" applyProtection="1">
      <alignment horizontal="center" vertical="center"/>
      <protection locked="0"/>
    </xf>
    <xf numFmtId="49" fontId="95" fillId="42" borderId="64" xfId="0" applyNumberFormat="1" applyFont="1" applyFill="1" applyBorder="1" applyAlignment="1" applyProtection="1">
      <alignment horizontal="center" vertical="center"/>
      <protection locked="0"/>
    </xf>
    <xf numFmtId="49" fontId="95" fillId="42" borderId="65" xfId="0" applyNumberFormat="1" applyFont="1" applyFill="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6"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49" fontId="13" fillId="0" borderId="53" xfId="0" applyNumberFormat="1" applyFon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7" xfId="0" applyFont="1" applyFill="1" applyBorder="1" applyAlignment="1" applyProtection="1">
      <alignment horizontal="center" vertical="center" wrapText="1"/>
      <protection hidden="1"/>
    </xf>
    <xf numFmtId="0" fontId="14" fillId="36" borderId="6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9"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7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8" xfId="0" applyFont="1" applyFill="1" applyBorder="1" applyAlignment="1">
      <alignment horizontal="center" vertical="center" wrapText="1"/>
    </xf>
    <xf numFmtId="0" fontId="27" fillId="38" borderId="70"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9"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71"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9"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70"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5" borderId="72" xfId="0" applyFont="1" applyFill="1" applyBorder="1" applyAlignment="1">
      <alignment horizontal="left" vertical="center"/>
    </xf>
    <xf numFmtId="0" fontId="1" fillId="0" borderId="72" xfId="0" applyFont="1" applyBorder="1" applyAlignment="1">
      <alignment vertical="center"/>
    </xf>
    <xf numFmtId="0" fontId="10" fillId="0" borderId="18" xfId="0" applyFont="1" applyBorder="1" applyAlignment="1">
      <alignment horizontal="left" vertical="center" wrapText="1"/>
    </xf>
    <xf numFmtId="0" fontId="1" fillId="0" borderId="72" xfId="0" applyFont="1" applyBorder="1" applyAlignment="1">
      <alignment/>
    </xf>
    <xf numFmtId="0" fontId="1" fillId="0" borderId="28"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70"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4" xfId="0" applyFont="1" applyFill="1" applyBorder="1" applyAlignment="1">
      <alignment horizontal="left" vertical="center"/>
    </xf>
    <xf numFmtId="0" fontId="48" fillId="45" borderId="74" xfId="0" applyFont="1" applyFill="1" applyBorder="1" applyAlignment="1">
      <alignment vertical="center"/>
    </xf>
    <xf numFmtId="0" fontId="1" fillId="0" borderId="74"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8"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5" xfId="0" applyFont="1" applyBorder="1" applyAlignment="1">
      <alignment/>
    </xf>
    <xf numFmtId="0" fontId="1" fillId="0" borderId="2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71" xfId="0" applyFont="1" applyFill="1" applyBorder="1" applyAlignment="1">
      <alignment horizontal="left" vertical="center" shrinkToFi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76" xfId="0" applyFont="1" applyFill="1" applyBorder="1" applyAlignment="1">
      <alignment horizontal="left" vertical="center" shrinkToFit="1"/>
    </xf>
    <xf numFmtId="0" fontId="14" fillId="44" borderId="77" xfId="0" applyFont="1" applyFill="1" applyBorder="1" applyAlignment="1">
      <alignment horizontal="left" vertical="center" shrinkToFit="1"/>
    </xf>
    <xf numFmtId="0" fontId="14" fillId="44" borderId="78"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71"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11.421875" style="4" customWidth="1"/>
    <col min="8" max="8" width="11.421875" style="30" customWidth="1"/>
    <col min="9" max="9" width="11.421875" style="4" customWidth="1"/>
    <col min="10" max="25" width="11.421875" style="31" customWidth="1"/>
    <col min="26" max="16384" width="11.42187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t="str">
        <f>IF(Bilanca!H9=0,"",Bilanca!H9)</f>
        <v>0</v>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0</v>
      </c>
      <c r="H3" s="30">
        <f>J3/100*F3+2*K3/100*F3</f>
        <v>3860377.9</v>
      </c>
      <c r="I3" s="31">
        <f>ABS(ROUND(J3,0)-J3)+ABS(ROUND(K3,0)-K3)</f>
        <v>0</v>
      </c>
      <c r="J3" s="31">
        <f>Bilanca!I10</f>
        <v>111662017</v>
      </c>
      <c r="K3" s="31">
        <f>Bilanca!J10</f>
        <v>40678439</v>
      </c>
    </row>
    <row r="4" spans="1:11" ht="12.75">
      <c r="A4" s="4" t="s">
        <v>1088</v>
      </c>
      <c r="B4" s="29" t="s">
        <v>1888</v>
      </c>
      <c r="D4" s="4" t="s">
        <v>1521</v>
      </c>
      <c r="E4" s="4">
        <v>1</v>
      </c>
      <c r="F4" s="4">
        <f>Bilanca!G11</f>
        <v>3</v>
      </c>
      <c r="G4" s="4" t="str">
        <f>IF(Bilanca!H11=0,"",Bilanca!H11)</f>
        <v>0</v>
      </c>
      <c r="H4" s="30">
        <f>J4/100*F4+2*K4/100*F4</f>
        <v>15492.12</v>
      </c>
      <c r="I4" s="31">
        <f>ABS(ROUND(J4,0)-J4)+ABS(ROUND(K4,0)-K4)</f>
        <v>0</v>
      </c>
      <c r="J4" s="31">
        <f>Bilanca!I11</f>
        <v>503468</v>
      </c>
      <c r="K4" s="31">
        <f>Bilanca!J11</f>
        <v>6468</v>
      </c>
    </row>
    <row r="5" spans="1:11" ht="12.75">
      <c r="A5" s="4" t="s">
        <v>2361</v>
      </c>
      <c r="B5" s="29">
        <f>IF(ISNUMBER(RefStr!C17),RefStr!C17,0)</f>
        <v>10</v>
      </c>
      <c r="D5" s="4" t="s">
        <v>1521</v>
      </c>
      <c r="E5" s="4">
        <v>1</v>
      </c>
      <c r="F5" s="4">
        <f>Bilanca!G12</f>
        <v>4</v>
      </c>
      <c r="G5" s="4" t="str">
        <f>IF(Bilanca!H12=0,"",Bilanca!H12)</f>
        <v>0</v>
      </c>
      <c r="H5" s="30">
        <f>J5/100*F5+2*K5/100*F5</f>
        <v>0</v>
      </c>
      <c r="I5" s="31">
        <f>ABS(ROUND(J5,0)-J5)+ABS(ROUND(K5,0)-K5)</f>
        <v>0</v>
      </c>
      <c r="J5" s="31">
        <f>Bilanca!I12</f>
        <v>0</v>
      </c>
      <c r="K5" s="31">
        <f>Bilanca!J12</f>
        <v>0</v>
      </c>
    </row>
    <row r="6" spans="1:11" ht="12.75">
      <c r="A6" s="4" t="s">
        <v>2352</v>
      </c>
      <c r="B6" s="29" t="str">
        <f>RefStr!H27</f>
        <v>03203077</v>
      </c>
      <c r="D6" s="4" t="s">
        <v>1521</v>
      </c>
      <c r="E6" s="4">
        <v>1</v>
      </c>
      <c r="F6" s="4">
        <f>Bilanca!G13</f>
        <v>5</v>
      </c>
      <c r="G6" s="4" t="str">
        <f>IF(Bilanca!H13=0,"",Bilanca!H13)</f>
        <v>0</v>
      </c>
      <c r="H6" s="30">
        <f aca="true" t="shared" si="0" ref="H6:H45">J6/100*F6+2*K6/100*F6</f>
        <v>0</v>
      </c>
      <c r="I6" s="31">
        <f aca="true" t="shared" si="1" ref="I6:I45">ABS(ROUND(J6,0)-J6)+ABS(ROUND(K6,0)-K6)</f>
        <v>0</v>
      </c>
      <c r="J6" s="31">
        <f>Bilanca!I13</f>
        <v>0</v>
      </c>
      <c r="K6" s="31">
        <f>Bilanca!J13</f>
        <v>0</v>
      </c>
    </row>
    <row r="7" spans="1:11" ht="12.75">
      <c r="A7" s="4" t="s">
        <v>2353</v>
      </c>
      <c r="B7" s="29" t="str">
        <f>RefStr!M27</f>
        <v>040016469</v>
      </c>
      <c r="D7" s="4" t="s">
        <v>1521</v>
      </c>
      <c r="E7" s="4">
        <v>1</v>
      </c>
      <c r="F7" s="4">
        <f>Bilanca!G14</f>
        <v>6</v>
      </c>
      <c r="G7" s="4" t="str">
        <f>IF(Bilanca!H14=0,"",Bilanca!H14)</f>
        <v>0</v>
      </c>
      <c r="H7" s="30">
        <f t="shared" si="0"/>
        <v>0</v>
      </c>
      <c r="I7" s="31">
        <f t="shared" si="1"/>
        <v>0</v>
      </c>
      <c r="J7" s="31">
        <f>Bilanca!I14</f>
        <v>0</v>
      </c>
      <c r="K7" s="31">
        <f>Bilanca!J14</f>
        <v>0</v>
      </c>
    </row>
    <row r="8" spans="1:11" ht="12.75">
      <c r="A8" s="4" t="s">
        <v>2718</v>
      </c>
      <c r="B8" s="29" t="str">
        <f>RefStr!C27</f>
        <v>07538718933</v>
      </c>
      <c r="D8" s="4" t="s">
        <v>1521</v>
      </c>
      <c r="E8" s="4">
        <v>1</v>
      </c>
      <c r="F8" s="4">
        <f>Bilanca!G15</f>
        <v>7</v>
      </c>
      <c r="G8" s="4" t="str">
        <f>IF(Bilanca!H15=0,"",Bilanca!H15)</f>
        <v>0</v>
      </c>
      <c r="H8" s="30">
        <f t="shared" si="0"/>
        <v>0</v>
      </c>
      <c r="I8" s="31">
        <f t="shared" si="1"/>
        <v>0</v>
      </c>
      <c r="J8" s="31">
        <f>Bilanca!I15</f>
        <v>0</v>
      </c>
      <c r="K8" s="31">
        <f>Bilanca!J15</f>
        <v>0</v>
      </c>
    </row>
    <row r="9" spans="1:11" ht="12.75">
      <c r="A9" s="4" t="s">
        <v>2354</v>
      </c>
      <c r="B9" s="29" t="str">
        <f>TRIM(RefStr!C29)</f>
        <v>ISTRA d.d.</v>
      </c>
      <c r="D9" s="4" t="s">
        <v>1521</v>
      </c>
      <c r="E9" s="4">
        <v>1</v>
      </c>
      <c r="F9" s="4">
        <f>Bilanca!G16</f>
        <v>8</v>
      </c>
      <c r="G9" s="4" t="str">
        <f>IF(Bilanca!H16=0,"",Bilanca!H16)</f>
        <v>0</v>
      </c>
      <c r="H9" s="30">
        <f t="shared" si="0"/>
        <v>0</v>
      </c>
      <c r="I9" s="31">
        <f t="shared" si="1"/>
        <v>0</v>
      </c>
      <c r="J9" s="31">
        <f>Bilanca!I16</f>
        <v>0</v>
      </c>
      <c r="K9" s="31">
        <f>Bilanca!J16</f>
        <v>0</v>
      </c>
    </row>
    <row r="10" spans="1:11" ht="12.75">
      <c r="A10" s="4" t="s">
        <v>2355</v>
      </c>
      <c r="B10" s="29" t="str">
        <f>TEXT(RefStr!C31,"00000")</f>
        <v>52100</v>
      </c>
      <c r="D10" s="4" t="s">
        <v>1521</v>
      </c>
      <c r="E10" s="4">
        <v>1</v>
      </c>
      <c r="F10" s="4">
        <f>Bilanca!G17</f>
        <v>9</v>
      </c>
      <c r="G10" s="4" t="str">
        <f>IF(Bilanca!H17=0,"",Bilanca!H17)</f>
        <v>0</v>
      </c>
      <c r="H10" s="30">
        <f t="shared" si="0"/>
        <v>46476.36</v>
      </c>
      <c r="I10" s="31">
        <f t="shared" si="1"/>
        <v>0</v>
      </c>
      <c r="J10" s="31">
        <f>Bilanca!I17</f>
        <v>503468</v>
      </c>
      <c r="K10" s="31">
        <f>Bilanca!J17</f>
        <v>6468</v>
      </c>
    </row>
    <row r="11" spans="1:11" ht="12.75">
      <c r="A11" s="4" t="s">
        <v>2356</v>
      </c>
      <c r="B11" s="29" t="str">
        <f>TRIM(RefStr!F31)</f>
        <v>Pula</v>
      </c>
      <c r="D11" s="4" t="s">
        <v>1521</v>
      </c>
      <c r="E11" s="4">
        <v>1</v>
      </c>
      <c r="F11" s="4">
        <f>Bilanca!G18</f>
        <v>10</v>
      </c>
      <c r="G11" s="4" t="str">
        <f>IF(Bilanca!H18=0,"",Bilanca!H18)</f>
        <v>0</v>
      </c>
      <c r="H11" s="30">
        <f t="shared" si="0"/>
        <v>19003124.7</v>
      </c>
      <c r="I11" s="31">
        <f t="shared" si="1"/>
        <v>0</v>
      </c>
      <c r="J11" s="31">
        <f>Bilanca!I18</f>
        <v>109623221</v>
      </c>
      <c r="K11" s="31">
        <f>Bilanca!J18</f>
        <v>40204013</v>
      </c>
    </row>
    <row r="12" spans="1:11" ht="12.75">
      <c r="A12" s="4" t="s">
        <v>2357</v>
      </c>
      <c r="B12" s="29" t="str">
        <f>TRIM(RefStr!C33)</f>
        <v>Narodni trg 10</v>
      </c>
      <c r="D12" s="4" t="s">
        <v>1521</v>
      </c>
      <c r="E12" s="4">
        <v>1</v>
      </c>
      <c r="F12" s="4">
        <f>Bilanca!G19</f>
        <v>11</v>
      </c>
      <c r="G12" s="4" t="str">
        <f>IF(Bilanca!H19=0,"",Bilanca!H19)</f>
        <v>0</v>
      </c>
      <c r="H12" s="30">
        <f t="shared" si="0"/>
        <v>521108.38999999996</v>
      </c>
      <c r="I12" s="31">
        <f t="shared" si="1"/>
        <v>0</v>
      </c>
      <c r="J12" s="31">
        <f>Bilanca!I19</f>
        <v>4140877</v>
      </c>
      <c r="K12" s="31">
        <f>Bilanca!J19</f>
        <v>298236</v>
      </c>
    </row>
    <row r="13" spans="1:11" ht="12.75">
      <c r="A13" s="4" t="s">
        <v>1193</v>
      </c>
      <c r="B13" s="29" t="str">
        <f>TRIM(RefStr!C35)</f>
        <v>info@ccs.hr</v>
      </c>
      <c r="D13" s="4" t="s">
        <v>1521</v>
      </c>
      <c r="E13" s="4">
        <v>1</v>
      </c>
      <c r="F13" s="4">
        <f>Bilanca!G20</f>
        <v>12</v>
      </c>
      <c r="G13" s="4" t="str">
        <f>IF(Bilanca!H20=0,"",Bilanca!H20)</f>
        <v>0</v>
      </c>
      <c r="H13" s="30">
        <f t="shared" si="0"/>
        <v>21587853.599999998</v>
      </c>
      <c r="I13" s="31">
        <f t="shared" si="1"/>
        <v>0</v>
      </c>
      <c r="J13" s="31">
        <f>Bilanca!I20</f>
        <v>103137820</v>
      </c>
      <c r="K13" s="31">
        <f>Bilanca!J20</f>
        <v>38380480</v>
      </c>
    </row>
    <row r="14" spans="1:11" ht="12.75">
      <c r="A14" s="4" t="s">
        <v>1194</v>
      </c>
      <c r="B14" s="29" t="str">
        <f>TRIM(RefStr!C37)</f>
        <v>www.istra-trgovina.hr</v>
      </c>
      <c r="D14" s="4" t="s">
        <v>1521</v>
      </c>
      <c r="E14" s="4">
        <v>1</v>
      </c>
      <c r="F14" s="4">
        <f>Bilanca!G21</f>
        <v>13</v>
      </c>
      <c r="G14" s="4" t="str">
        <f>IF(Bilanca!H21=0,"",Bilanca!H21)</f>
        <v>0</v>
      </c>
      <c r="H14" s="30">
        <f t="shared" si="0"/>
        <v>668698.94</v>
      </c>
      <c r="I14" s="31">
        <f t="shared" si="1"/>
        <v>0</v>
      </c>
      <c r="J14" s="31">
        <f>Bilanca!I21</f>
        <v>2111782</v>
      </c>
      <c r="K14" s="31">
        <f>Bilanca!J21</f>
        <v>1516028</v>
      </c>
    </row>
    <row r="15" spans="1:11" ht="12.75">
      <c r="A15" s="4" t="s">
        <v>2360</v>
      </c>
      <c r="B15" s="29" t="str">
        <f>TEXT(RefStr!J39,"00")</f>
        <v>18</v>
      </c>
      <c r="D15" s="4" t="s">
        <v>1521</v>
      </c>
      <c r="E15" s="4">
        <v>1</v>
      </c>
      <c r="F15" s="4">
        <f>Bilanca!G22</f>
        <v>14</v>
      </c>
      <c r="G15" s="4" t="str">
        <f>IF(Bilanca!H22=0,"",Bilanca!H22)</f>
        <v>0</v>
      </c>
      <c r="H15" s="30">
        <f t="shared" si="0"/>
        <v>3294.2</v>
      </c>
      <c r="I15" s="31">
        <f t="shared" si="1"/>
        <v>0</v>
      </c>
      <c r="J15" s="31">
        <f>Bilanca!I22</f>
        <v>4992</v>
      </c>
      <c r="K15" s="31">
        <f>Bilanca!J22</f>
        <v>9269</v>
      </c>
    </row>
    <row r="16" spans="1:11" ht="12.75">
      <c r="A16" s="4" t="s">
        <v>2359</v>
      </c>
      <c r="B16" s="29" t="str">
        <f>TEXT(RefStr!C39,"000")</f>
        <v>359</v>
      </c>
      <c r="D16" s="4" t="s">
        <v>1521</v>
      </c>
      <c r="E16" s="4">
        <v>1</v>
      </c>
      <c r="F16" s="4">
        <f>Bilanca!G23</f>
        <v>15</v>
      </c>
      <c r="G16" s="4" t="str">
        <f>IF(Bilanca!H23=0,"",Bilanca!H23)</f>
        <v>0</v>
      </c>
      <c r="H16" s="30">
        <f t="shared" si="0"/>
        <v>0</v>
      </c>
      <c r="I16" s="31">
        <f t="shared" si="1"/>
        <v>0</v>
      </c>
      <c r="J16" s="31">
        <f>Bilanca!I23</f>
        <v>0</v>
      </c>
      <c r="K16" s="31">
        <f>Bilanca!J23</f>
        <v>0</v>
      </c>
    </row>
    <row r="17" spans="1:11" ht="12.75">
      <c r="A17" s="4" t="s">
        <v>2358</v>
      </c>
      <c r="B17" s="29" t="str">
        <f>RefStr!C42</f>
        <v>4690</v>
      </c>
      <c r="D17" s="4" t="s">
        <v>1521</v>
      </c>
      <c r="E17" s="4">
        <v>1</v>
      </c>
      <c r="F17" s="4">
        <f>Bilanca!G24</f>
        <v>16</v>
      </c>
      <c r="G17" s="4" t="str">
        <f>IF(Bilanca!H24=0,"",Bilanca!H24)</f>
        <v>0</v>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0</v>
      </c>
      <c r="H18" s="30">
        <f t="shared" si="0"/>
        <v>38717.5</v>
      </c>
      <c r="I18" s="31">
        <f t="shared" si="1"/>
        <v>0</v>
      </c>
      <c r="J18" s="31">
        <f>Bilanca!I25</f>
        <v>227750</v>
      </c>
      <c r="K18" s="31">
        <f>Bilanca!J25</f>
        <v>0</v>
      </c>
    </row>
    <row r="19" spans="1:11" ht="12.75">
      <c r="A19" s="4" t="s">
        <v>1196</v>
      </c>
      <c r="B19" s="29" t="str">
        <f>IF(RefStr!I21&lt;&gt;"",RefStr!I21,"")</f>
        <v>DA</v>
      </c>
      <c r="D19" s="4" t="s">
        <v>1521</v>
      </c>
      <c r="E19" s="4">
        <v>1</v>
      </c>
      <c r="F19" s="4">
        <f>Bilanca!G26</f>
        <v>18</v>
      </c>
      <c r="G19" s="4" t="str">
        <f>IF(Bilanca!H26=0,"",Bilanca!H26)</f>
        <v>0</v>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t="str">
        <f>IF(Bilanca!H27=0,"",Bilanca!H27)</f>
        <v>0</v>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t="str">
        <f>IF(Bilanca!H28=0,"",Bilanca!H28)</f>
        <v>0</v>
      </c>
      <c r="H21" s="30">
        <f t="shared" si="0"/>
        <v>4000</v>
      </c>
      <c r="I21" s="31">
        <f t="shared" si="1"/>
        <v>0</v>
      </c>
      <c r="J21" s="31">
        <f>Bilanca!I28</f>
        <v>20000</v>
      </c>
      <c r="K21" s="31">
        <f>Bilanca!J28</f>
        <v>0</v>
      </c>
    </row>
    <row r="22" spans="1:11" ht="12.75">
      <c r="A22" s="4" t="s">
        <v>1199</v>
      </c>
      <c r="B22" s="29">
        <f>RefStr!C52</f>
        <v>21</v>
      </c>
      <c r="D22" s="4" t="s">
        <v>1521</v>
      </c>
      <c r="E22" s="4">
        <v>1</v>
      </c>
      <c r="F22" s="4">
        <f>Bilanca!G29</f>
        <v>21</v>
      </c>
      <c r="G22" s="4" t="str">
        <f>IF(Bilanca!H29=0,"",Bilanca!H29)</f>
        <v>0</v>
      </c>
      <c r="H22" s="30">
        <f t="shared" si="0"/>
        <v>4200</v>
      </c>
      <c r="I22" s="31">
        <f t="shared" si="1"/>
        <v>0</v>
      </c>
      <c r="J22" s="31">
        <f>Bilanca!I29</f>
        <v>20000</v>
      </c>
      <c r="K22" s="31">
        <f>Bilanca!J29</f>
        <v>0</v>
      </c>
    </row>
    <row r="23" spans="1:11" ht="12.75">
      <c r="A23" s="4" t="s">
        <v>1200</v>
      </c>
      <c r="B23" s="29">
        <f>RefStr!C54</f>
        <v>100</v>
      </c>
      <c r="D23" s="4" t="s">
        <v>1521</v>
      </c>
      <c r="E23" s="4">
        <v>1</v>
      </c>
      <c r="F23" s="4">
        <f>Bilanca!G30</f>
        <v>22</v>
      </c>
      <c r="G23" s="4" t="str">
        <f>IF(Bilanca!H30=0,"",Bilanca!H30)</f>
        <v>0</v>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t="str">
        <f>IF(Bilanca!H31=0,"",Bilanca!H31)</f>
        <v>0</v>
      </c>
      <c r="H24" s="30">
        <f t="shared" si="0"/>
        <v>0</v>
      </c>
      <c r="I24" s="31">
        <f t="shared" si="1"/>
        <v>0</v>
      </c>
      <c r="J24" s="31">
        <f>Bilanca!I31</f>
        <v>0</v>
      </c>
      <c r="K24" s="31">
        <f>Bilanca!J31</f>
        <v>0</v>
      </c>
    </row>
    <row r="25" spans="1:11" ht="12.75">
      <c r="A25" s="4" t="s">
        <v>1202</v>
      </c>
      <c r="B25" s="29">
        <f>RefStr!C56</f>
        <v>16</v>
      </c>
      <c r="D25" s="4" t="s">
        <v>1521</v>
      </c>
      <c r="E25" s="4">
        <v>1</v>
      </c>
      <c r="F25" s="4">
        <f>Bilanca!G32</f>
        <v>24</v>
      </c>
      <c r="G25" s="4" t="str">
        <f>IF(Bilanca!H32=0,"",Bilanca!H32)</f>
        <v>0</v>
      </c>
      <c r="H25" s="30">
        <f t="shared" si="0"/>
        <v>0</v>
      </c>
      <c r="I25" s="31">
        <f t="shared" si="1"/>
        <v>0</v>
      </c>
      <c r="J25" s="31">
        <f>Bilanca!I32</f>
        <v>0</v>
      </c>
      <c r="K25" s="31">
        <f>Bilanca!J32</f>
        <v>0</v>
      </c>
    </row>
    <row r="26" spans="1:11" ht="12.75">
      <c r="A26" s="4" t="s">
        <v>1203</v>
      </c>
      <c r="B26" s="29">
        <f>RefStr!F56</f>
        <v>5</v>
      </c>
      <c r="D26" s="4" t="s">
        <v>1521</v>
      </c>
      <c r="E26" s="4">
        <v>1</v>
      </c>
      <c r="F26" s="4">
        <f>Bilanca!G33</f>
        <v>25</v>
      </c>
      <c r="G26" s="4" t="str">
        <f>IF(Bilanca!H33=0,"",Bilanca!H33)</f>
        <v>0</v>
      </c>
      <c r="H26" s="30">
        <f t="shared" si="0"/>
        <v>0</v>
      </c>
      <c r="I26" s="31">
        <f t="shared" si="1"/>
        <v>0</v>
      </c>
      <c r="J26" s="31">
        <f>Bilanca!I33</f>
        <v>0</v>
      </c>
      <c r="K26" s="31">
        <f>Bilanca!J33</f>
        <v>0</v>
      </c>
    </row>
    <row r="27" spans="1:11" ht="12.75">
      <c r="A27" s="4" t="s">
        <v>1204</v>
      </c>
      <c r="B27" s="29">
        <f>RefStr!C58</f>
        <v>16</v>
      </c>
      <c r="D27" s="4" t="s">
        <v>1521</v>
      </c>
      <c r="E27" s="4">
        <v>1</v>
      </c>
      <c r="F27" s="4">
        <f>Bilanca!G34</f>
        <v>26</v>
      </c>
      <c r="G27" s="4" t="str">
        <f>IF(Bilanca!H34=0,"",Bilanca!H34)</f>
        <v>0</v>
      </c>
      <c r="H27" s="30">
        <f t="shared" si="0"/>
        <v>0</v>
      </c>
      <c r="I27" s="31">
        <f t="shared" si="1"/>
        <v>0</v>
      </c>
      <c r="J27" s="31">
        <f>Bilanca!I34</f>
        <v>0</v>
      </c>
      <c r="K27" s="31">
        <f>Bilanca!J34</f>
        <v>0</v>
      </c>
    </row>
    <row r="28" spans="1:11" ht="12.75">
      <c r="A28" s="4" t="s">
        <v>1205</v>
      </c>
      <c r="B28" s="29">
        <f>RefStr!F58</f>
        <v>5</v>
      </c>
      <c r="D28" s="4" t="s">
        <v>1521</v>
      </c>
      <c r="E28" s="4">
        <v>1</v>
      </c>
      <c r="F28" s="4">
        <f>Bilanca!G35</f>
        <v>27</v>
      </c>
      <c r="G28" s="4" t="str">
        <f>IF(Bilanca!H35=0,"",Bilanca!H35)</f>
        <v>0</v>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t="str">
        <f>IF(Bilanca!H36=0,"",Bilanca!H36)</f>
        <v>0</v>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t="str">
        <f>IF(Bilanca!H37=0,"",Bilanca!H37)</f>
        <v>0</v>
      </c>
      <c r="H30" s="30">
        <f t="shared" si="0"/>
        <v>0</v>
      </c>
      <c r="I30" s="31">
        <f t="shared" si="1"/>
        <v>0</v>
      </c>
      <c r="J30" s="31">
        <f>Bilanca!I37</f>
        <v>0</v>
      </c>
      <c r="K30" s="31">
        <f>Bilanca!J37</f>
        <v>0</v>
      </c>
    </row>
    <row r="31" spans="1:11" ht="12.75">
      <c r="A31" s="4" t="s">
        <v>1208</v>
      </c>
      <c r="B31" s="29" t="s">
        <v>1813</v>
      </c>
      <c r="D31" s="4" t="s">
        <v>1521</v>
      </c>
      <c r="E31" s="4">
        <v>1</v>
      </c>
      <c r="F31" s="4">
        <f>Bilanca!G38</f>
        <v>30</v>
      </c>
      <c r="G31" s="4" t="str">
        <f>IF(Bilanca!H38=0,"",Bilanca!H38)</f>
        <v>0</v>
      </c>
      <c r="H31" s="30">
        <f t="shared" si="0"/>
        <v>0</v>
      </c>
      <c r="I31" s="31">
        <f t="shared" si="1"/>
        <v>0</v>
      </c>
      <c r="J31" s="31">
        <f>Bilanca!I38</f>
        <v>0</v>
      </c>
      <c r="K31" s="31">
        <f>Bilanca!J38</f>
        <v>0</v>
      </c>
    </row>
    <row r="32" spans="1:11" ht="12.75">
      <c r="A32" s="4" t="s">
        <v>1209</v>
      </c>
      <c r="B32" s="29" t="s">
        <v>1813</v>
      </c>
      <c r="D32" s="4" t="s">
        <v>1521</v>
      </c>
      <c r="E32" s="4">
        <v>1</v>
      </c>
      <c r="F32" s="4">
        <f>Bilanca!G39</f>
        <v>31</v>
      </c>
      <c r="G32" s="4" t="str">
        <f>IF(Bilanca!H39=0,"",Bilanca!H39)</f>
        <v>0</v>
      </c>
      <c r="H32" s="30">
        <f t="shared" si="0"/>
        <v>555148.93</v>
      </c>
      <c r="I32" s="31">
        <f t="shared" si="1"/>
        <v>0</v>
      </c>
      <c r="J32" s="31">
        <f>Bilanca!I39</f>
        <v>854887</v>
      </c>
      <c r="K32" s="31">
        <f>Bilanca!J39</f>
        <v>467958</v>
      </c>
    </row>
    <row r="33" spans="1:11" ht="12.75">
      <c r="A33" s="4" t="s">
        <v>1210</v>
      </c>
      <c r="B33" s="29" t="s">
        <v>1813</v>
      </c>
      <c r="D33" s="4" t="s">
        <v>1521</v>
      </c>
      <c r="E33" s="4">
        <v>1</v>
      </c>
      <c r="F33" s="4">
        <f>Bilanca!G40</f>
        <v>32</v>
      </c>
      <c r="G33" s="4" t="str">
        <f>IF(Bilanca!H40=0,"",Bilanca!H40)</f>
        <v>0</v>
      </c>
      <c r="H33" s="30">
        <f t="shared" si="0"/>
        <v>0</v>
      </c>
      <c r="I33" s="31">
        <f t="shared" si="1"/>
        <v>0</v>
      </c>
      <c r="J33" s="31">
        <f>Bilanca!I40</f>
        <v>0</v>
      </c>
      <c r="K33" s="31">
        <f>Bilanca!J40</f>
        <v>0</v>
      </c>
    </row>
    <row r="34" spans="1:11" ht="12.75">
      <c r="A34" s="4" t="s">
        <v>1211</v>
      </c>
      <c r="B34" s="29" t="s">
        <v>1813</v>
      </c>
      <c r="D34" s="4" t="s">
        <v>1521</v>
      </c>
      <c r="E34" s="4">
        <v>1</v>
      </c>
      <c r="F34" s="4">
        <f>Bilanca!G41</f>
        <v>33</v>
      </c>
      <c r="G34" s="4" t="str">
        <f>IF(Bilanca!H41=0,"",Bilanca!H41)</f>
        <v>0</v>
      </c>
      <c r="H34" s="30">
        <f t="shared" si="0"/>
        <v>0</v>
      </c>
      <c r="I34" s="31">
        <f t="shared" si="1"/>
        <v>0</v>
      </c>
      <c r="J34" s="31">
        <f>Bilanca!I41</f>
        <v>0</v>
      </c>
      <c r="K34" s="31">
        <f>Bilanca!J41</f>
        <v>0</v>
      </c>
    </row>
    <row r="35" spans="1:11" ht="12.75">
      <c r="A35" s="4" t="s">
        <v>1212</v>
      </c>
      <c r="B35" s="29" t="s">
        <v>1813</v>
      </c>
      <c r="D35" s="4" t="s">
        <v>1521</v>
      </c>
      <c r="E35" s="4">
        <v>1</v>
      </c>
      <c r="F35" s="4">
        <f>Bilanca!G42</f>
        <v>34</v>
      </c>
      <c r="G35" s="4" t="str">
        <f>IF(Bilanca!H42=0,"",Bilanca!H42)</f>
        <v>0</v>
      </c>
      <c r="H35" s="30">
        <f t="shared" si="0"/>
        <v>88800.18</v>
      </c>
      <c r="I35" s="31">
        <f t="shared" si="1"/>
        <v>0</v>
      </c>
      <c r="J35" s="31">
        <f>Bilanca!I42</f>
        <v>261177</v>
      </c>
      <c r="K35" s="31">
        <f>Bilanca!J42</f>
        <v>0</v>
      </c>
    </row>
    <row r="36" spans="1:11" ht="12.75">
      <c r="A36" s="4" t="s">
        <v>1213</v>
      </c>
      <c r="B36" s="29" t="s">
        <v>1813</v>
      </c>
      <c r="D36" s="4" t="s">
        <v>1521</v>
      </c>
      <c r="E36" s="4">
        <v>1</v>
      </c>
      <c r="F36" s="4">
        <f>Bilanca!G43</f>
        <v>35</v>
      </c>
      <c r="G36" s="4" t="str">
        <f>IF(Bilanca!H43=0,"",Bilanca!H43)</f>
        <v>0</v>
      </c>
      <c r="H36" s="30">
        <f t="shared" si="0"/>
        <v>535369.1</v>
      </c>
      <c r="I36" s="31">
        <f t="shared" si="1"/>
        <v>0</v>
      </c>
      <c r="J36" s="31">
        <f>Bilanca!I43</f>
        <v>593710</v>
      </c>
      <c r="K36" s="31">
        <f>Bilanca!J43</f>
        <v>467958</v>
      </c>
    </row>
    <row r="37" spans="1:11" ht="12.75">
      <c r="A37" s="4" t="s">
        <v>1214</v>
      </c>
      <c r="B37" s="29">
        <f>RefStr!B64</f>
        <v>0</v>
      </c>
      <c r="D37" s="4" t="s">
        <v>1521</v>
      </c>
      <c r="E37" s="4">
        <v>1</v>
      </c>
      <c r="F37" s="4">
        <f>Bilanca!G44</f>
        <v>36</v>
      </c>
      <c r="G37" s="4" t="str">
        <f>IF(Bilanca!H44=0,"",Bilanca!H44)</f>
        <v>0</v>
      </c>
      <c r="H37" s="30">
        <f t="shared" si="0"/>
        <v>237758.76</v>
      </c>
      <c r="I37" s="31">
        <f t="shared" si="1"/>
        <v>0</v>
      </c>
      <c r="J37" s="31">
        <f>Bilanca!I44</f>
        <v>660441</v>
      </c>
      <c r="K37" s="31">
        <f>Bilanca!J44</f>
        <v>0</v>
      </c>
    </row>
    <row r="38" spans="1:11" ht="12.75">
      <c r="A38" s="4" t="s">
        <v>1215</v>
      </c>
      <c r="B38" s="29">
        <f>RefStr!B66</f>
        <v>0</v>
      </c>
      <c r="D38" s="4" t="s">
        <v>1521</v>
      </c>
      <c r="E38" s="4">
        <v>1</v>
      </c>
      <c r="F38" s="4">
        <f>Bilanca!G45</f>
        <v>37</v>
      </c>
      <c r="G38" s="4" t="str">
        <f>IF(Bilanca!H45=0,"",Bilanca!H45)</f>
        <v>0</v>
      </c>
      <c r="H38" s="30">
        <f t="shared" si="0"/>
        <v>67451590.15</v>
      </c>
      <c r="I38" s="31">
        <f t="shared" si="1"/>
        <v>0</v>
      </c>
      <c r="J38" s="31">
        <f>Bilanca!I45</f>
        <v>58355711</v>
      </c>
      <c r="K38" s="31">
        <f>Bilanca!J45</f>
        <v>61972942</v>
      </c>
    </row>
    <row r="39" spans="1:11" ht="12.75">
      <c r="A39" s="4" t="s">
        <v>1216</v>
      </c>
      <c r="B39" s="29" t="str">
        <f>RefStr!C68</f>
        <v>IVANA LEGIN</v>
      </c>
      <c r="D39" s="4" t="s">
        <v>1521</v>
      </c>
      <c r="E39" s="4">
        <v>1</v>
      </c>
      <c r="F39" s="4">
        <f>Bilanca!G46</f>
        <v>38</v>
      </c>
      <c r="G39" s="4" t="str">
        <f>IF(Bilanca!H46=0,"",Bilanca!H46)</f>
        <v>0</v>
      </c>
      <c r="H39" s="30">
        <f t="shared" si="0"/>
        <v>538229.3400000001</v>
      </c>
      <c r="I39" s="31">
        <f t="shared" si="1"/>
        <v>0</v>
      </c>
      <c r="J39" s="31">
        <f>Bilanca!I46</f>
        <v>482639</v>
      </c>
      <c r="K39" s="31">
        <f>Bilanca!J46</f>
        <v>466877</v>
      </c>
    </row>
    <row r="40" spans="1:11" ht="12.75">
      <c r="A40" s="4" t="s">
        <v>1217</v>
      </c>
      <c r="B40" s="29" t="str">
        <f>TRIM(RefStr!C70)</f>
        <v>01/6666 306</v>
      </c>
      <c r="D40" s="4" t="s">
        <v>1521</v>
      </c>
      <c r="E40" s="4">
        <v>1</v>
      </c>
      <c r="F40" s="4">
        <f>Bilanca!G47</f>
        <v>39</v>
      </c>
      <c r="G40" s="4" t="str">
        <f>IF(Bilanca!H47=0,"",Bilanca!H47)</f>
        <v>0</v>
      </c>
      <c r="H40" s="30">
        <f t="shared" si="0"/>
        <v>437083.92</v>
      </c>
      <c r="I40" s="31">
        <f t="shared" si="1"/>
        <v>0</v>
      </c>
      <c r="J40" s="31">
        <f>Bilanca!I47</f>
        <v>384084</v>
      </c>
      <c r="K40" s="31">
        <f>Bilanca!J47</f>
        <v>368322</v>
      </c>
    </row>
    <row r="41" spans="1:11" ht="12.75">
      <c r="A41" s="4" t="s">
        <v>1218</v>
      </c>
      <c r="B41" s="29" t="s">
        <v>239</v>
      </c>
      <c r="D41" s="4" t="s">
        <v>1521</v>
      </c>
      <c r="E41" s="4">
        <v>1</v>
      </c>
      <c r="F41" s="4">
        <f>Bilanca!G48</f>
        <v>40</v>
      </c>
      <c r="G41" s="4" t="str">
        <f>IF(Bilanca!H48=0,"",Bilanca!H48)</f>
        <v>0</v>
      </c>
      <c r="H41" s="30">
        <f t="shared" si="0"/>
        <v>0</v>
      </c>
      <c r="I41" s="31">
        <f t="shared" si="1"/>
        <v>0</v>
      </c>
      <c r="J41" s="31">
        <f>Bilanca!I48</f>
        <v>0</v>
      </c>
      <c r="K41" s="31">
        <f>Bilanca!J48</f>
        <v>0</v>
      </c>
    </row>
    <row r="42" spans="1:11" ht="12.75">
      <c r="A42" s="4" t="s">
        <v>531</v>
      </c>
      <c r="B42" s="29" t="str">
        <f>TRIM(RefStr!C72)</f>
        <v>info@ccs.hr</v>
      </c>
      <c r="D42" s="4" t="s">
        <v>1521</v>
      </c>
      <c r="E42" s="4">
        <v>1</v>
      </c>
      <c r="F42" s="4">
        <f>Bilanca!G49</f>
        <v>41</v>
      </c>
      <c r="G42" s="4" t="str">
        <f>IF(Bilanca!H49=0,"",Bilanca!H49)</f>
        <v>0</v>
      </c>
      <c r="H42" s="30">
        <f t="shared" si="0"/>
        <v>0</v>
      </c>
      <c r="I42" s="31">
        <f t="shared" si="1"/>
        <v>0</v>
      </c>
      <c r="J42" s="31">
        <f>Bilanca!I49</f>
        <v>0</v>
      </c>
      <c r="K42" s="31">
        <f>Bilanca!J49</f>
        <v>0</v>
      </c>
    </row>
    <row r="43" spans="1:11" ht="12.75">
      <c r="A43" s="4" t="s">
        <v>530</v>
      </c>
      <c r="B43" s="29" t="str">
        <f>TRIM(RefStr!A75)</f>
        <v>KORUGA DUŠKO, LEGIN IVANA</v>
      </c>
      <c r="D43" s="4" t="s">
        <v>1521</v>
      </c>
      <c r="E43" s="4">
        <v>1</v>
      </c>
      <c r="F43" s="4">
        <f>Bilanca!G50</f>
        <v>42</v>
      </c>
      <c r="G43" s="4" t="str">
        <f>IF(Bilanca!H50=0,"",Bilanca!H50)</f>
        <v>0</v>
      </c>
      <c r="H43" s="30">
        <f t="shared" si="0"/>
        <v>124179.29999999999</v>
      </c>
      <c r="I43" s="31">
        <f t="shared" si="1"/>
        <v>0</v>
      </c>
      <c r="J43" s="31">
        <f>Bilanca!I50</f>
        <v>98555</v>
      </c>
      <c r="K43" s="31">
        <f>Bilanca!J50</f>
        <v>98555</v>
      </c>
    </row>
    <row r="44" spans="1:11" ht="12.75">
      <c r="A44" s="4" t="s">
        <v>2853</v>
      </c>
      <c r="B44" s="29" t="str">
        <f>IF(RefStr!C4&lt;&gt;"",TEXT(RefStr!C4,"YYYYMMDD"),"")</f>
        <v>20190101</v>
      </c>
      <c r="D44" s="4" t="s">
        <v>1521</v>
      </c>
      <c r="E44" s="4">
        <v>1</v>
      </c>
      <c r="F44" s="4">
        <f>Bilanca!G51</f>
        <v>43</v>
      </c>
      <c r="G44" s="4" t="str">
        <f>IF(Bilanca!H51=0,"",Bilanca!H51)</f>
        <v>0</v>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t="str">
        <f>IF(Bilanca!H52=0,"",Bilanca!H52)</f>
        <v>0</v>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t="str">
        <f>IF(Bilanca!H53=0,"",Bilanca!H53)</f>
        <v>0</v>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0</v>
      </c>
      <c r="H47" s="30">
        <f t="shared" si="2"/>
        <v>80358291.48</v>
      </c>
      <c r="I47" s="31">
        <f t="shared" si="3"/>
        <v>0</v>
      </c>
      <c r="J47" s="31">
        <f>Bilanca!I54</f>
        <v>55751380</v>
      </c>
      <c r="K47" s="31">
        <f>Bilanca!J54</f>
        <v>59470279</v>
      </c>
    </row>
    <row r="48" spans="1:11" ht="12.75">
      <c r="A48" s="4" t="s">
        <v>1918</v>
      </c>
      <c r="B48" s="29" t="str">
        <f>RefStr!I54</f>
        <v>DA</v>
      </c>
      <c r="D48" s="4" t="s">
        <v>1521</v>
      </c>
      <c r="E48" s="4">
        <v>1</v>
      </c>
      <c r="F48" s="4">
        <f>Bilanca!G55</f>
        <v>47</v>
      </c>
      <c r="G48" s="4" t="str">
        <f>IF(Bilanca!H55=0,"",Bilanca!H55)</f>
        <v>0</v>
      </c>
      <c r="H48" s="30">
        <f t="shared" si="2"/>
        <v>30831.53</v>
      </c>
      <c r="I48" s="31">
        <f t="shared" si="3"/>
        <v>0</v>
      </c>
      <c r="J48" s="31">
        <f>Bilanca!I55</f>
        <v>65599</v>
      </c>
      <c r="K48" s="31">
        <f>Bilanca!J55</f>
        <v>0</v>
      </c>
    </row>
    <row r="49" spans="1:11" ht="12.75">
      <c r="A49" s="4" t="s">
        <v>1920</v>
      </c>
      <c r="B49" s="29" t="str">
        <f>IF(NT_I!Q1&lt;&gt;0,"DA","NE")</f>
        <v>NE</v>
      </c>
      <c r="D49" s="4" t="s">
        <v>1521</v>
      </c>
      <c r="E49" s="4">
        <v>1</v>
      </c>
      <c r="F49" s="4">
        <f>Bilanca!G56</f>
        <v>48</v>
      </c>
      <c r="G49" s="4" t="str">
        <f>IF(Bilanca!H56=0,"",Bilanca!H56)</f>
        <v>0</v>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0</v>
      </c>
      <c r="H50" s="30">
        <f t="shared" si="2"/>
        <v>50494211.88</v>
      </c>
      <c r="I50" s="31">
        <f t="shared" si="3"/>
        <v>0</v>
      </c>
      <c r="J50" s="31">
        <f>Bilanca!I57</f>
        <v>31810360</v>
      </c>
      <c r="K50" s="31">
        <f>Bilanca!J57</f>
        <v>35619526</v>
      </c>
    </row>
    <row r="51" spans="1:11" ht="12.75">
      <c r="A51" s="4" t="s">
        <v>288</v>
      </c>
      <c r="B51" s="29" t="str">
        <f>RefStr!I60</f>
        <v>NE</v>
      </c>
      <c r="D51" s="4" t="s">
        <v>1521</v>
      </c>
      <c r="E51" s="4">
        <v>1</v>
      </c>
      <c r="F51" s="4">
        <f>Bilanca!G58</f>
        <v>50</v>
      </c>
      <c r="G51" s="4" t="str">
        <f>IF(Bilanca!H58=0,"",Bilanca!H58)</f>
        <v>0</v>
      </c>
      <c r="H51" s="30">
        <f t="shared" si="2"/>
        <v>6783</v>
      </c>
      <c r="I51" s="31">
        <f t="shared" si="3"/>
        <v>0</v>
      </c>
      <c r="J51" s="31">
        <f>Bilanca!I58</f>
        <v>4522</v>
      </c>
      <c r="K51" s="31">
        <f>Bilanca!J58</f>
        <v>4522</v>
      </c>
    </row>
    <row r="52" spans="1:11" ht="12.75">
      <c r="A52" s="4" t="s">
        <v>1219</v>
      </c>
      <c r="B52" s="29" t="s">
        <v>2619</v>
      </c>
      <c r="D52" s="4" t="s">
        <v>1521</v>
      </c>
      <c r="E52" s="4">
        <v>1</v>
      </c>
      <c r="F52" s="4">
        <f>Bilanca!G59</f>
        <v>51</v>
      </c>
      <c r="G52" s="4" t="str">
        <f>IF(Bilanca!H59=0,"",Bilanca!H59)</f>
        <v>0</v>
      </c>
      <c r="H52" s="30">
        <f t="shared" si="2"/>
        <v>114212.46</v>
      </c>
      <c r="I52" s="31">
        <f t="shared" si="3"/>
        <v>0</v>
      </c>
      <c r="J52" s="31">
        <f>Bilanca!I59</f>
        <v>91094</v>
      </c>
      <c r="K52" s="31">
        <f>Bilanca!J59</f>
        <v>66426</v>
      </c>
    </row>
    <row r="53" spans="1:11" ht="12.75">
      <c r="A53" s="4" t="s">
        <v>532</v>
      </c>
      <c r="B53" s="29" t="str">
        <f>RefStr!I56</f>
        <v>DA</v>
      </c>
      <c r="D53" s="4" t="s">
        <v>1521</v>
      </c>
      <c r="E53" s="4">
        <v>1</v>
      </c>
      <c r="F53" s="4">
        <f>Bilanca!G60</f>
        <v>52</v>
      </c>
      <c r="G53" s="4" t="str">
        <f>IF(Bilanca!H60=0,"",Bilanca!H60)</f>
        <v>0</v>
      </c>
      <c r="H53" s="30">
        <f t="shared" si="2"/>
        <v>37096495.8</v>
      </c>
      <c r="I53" s="31">
        <f t="shared" si="3"/>
        <v>0</v>
      </c>
      <c r="J53" s="31">
        <f>Bilanca!I60</f>
        <v>23779805</v>
      </c>
      <c r="K53" s="31">
        <f>Bilanca!J60</f>
        <v>23779805</v>
      </c>
    </row>
    <row r="54" spans="1:11" ht="12.75">
      <c r="A54" s="4" t="s">
        <v>533</v>
      </c>
      <c r="B54" s="29" t="str">
        <f>RefStr!I62</f>
        <v>DA</v>
      </c>
      <c r="D54" s="4" t="s">
        <v>1521</v>
      </c>
      <c r="E54" s="4">
        <v>1</v>
      </c>
      <c r="F54" s="4">
        <f>Bilanca!G61</f>
        <v>53</v>
      </c>
      <c r="G54" s="4" t="str">
        <f>IF(Bilanca!H61=0,"",Bilanca!H61)</f>
        <v>0</v>
      </c>
      <c r="H54" s="30">
        <f t="shared" si="2"/>
        <v>3258121.4699999997</v>
      </c>
      <c r="I54" s="31">
        <f t="shared" si="3"/>
        <v>0</v>
      </c>
      <c r="J54" s="31">
        <f>Bilanca!I61</f>
        <v>2094703</v>
      </c>
      <c r="K54" s="31">
        <f>Bilanca!J61</f>
        <v>2026348</v>
      </c>
    </row>
    <row r="55" spans="1:11" ht="12.75">
      <c r="A55" s="4" t="s">
        <v>456</v>
      </c>
      <c r="B55" s="29" t="str">
        <f>RefStr!I64</f>
        <v>NE</v>
      </c>
      <c r="D55" s="4" t="s">
        <v>1521</v>
      </c>
      <c r="E55" s="4">
        <v>1</v>
      </c>
      <c r="F55" s="4">
        <f>Bilanca!G62</f>
        <v>54</v>
      </c>
      <c r="G55" s="4" t="str">
        <f>IF(Bilanca!H62=0,"",Bilanca!H62)</f>
        <v>0</v>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t="str">
        <f>IF(Bilanca!H63=0,"",Bilanca!H63)</f>
        <v>0</v>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t="str">
        <f>IF(Bilanca!H64=0,"",Bilanca!H64)</f>
        <v>0</v>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t="str">
        <f>IF(Bilanca!H65=0,"",Bilanca!H65)</f>
        <v>0</v>
      </c>
      <c r="H58" s="30">
        <f t="shared" si="2"/>
        <v>0</v>
      </c>
      <c r="I58" s="31">
        <f t="shared" si="3"/>
        <v>0</v>
      </c>
      <c r="J58" s="31">
        <f>Bilanca!I65</f>
        <v>0</v>
      </c>
      <c r="K58" s="31">
        <f>Bilanca!J65</f>
        <v>0</v>
      </c>
    </row>
    <row r="59" spans="1:11" ht="12.75">
      <c r="A59" s="4" t="s">
        <v>2278</v>
      </c>
      <c r="B59" s="30">
        <f>SUM(H2:H432)+SUM(RefStr!Q9:Q65)</f>
        <v>4705007767.61</v>
      </c>
      <c r="D59" s="4" t="s">
        <v>1521</v>
      </c>
      <c r="E59" s="4">
        <v>1</v>
      </c>
      <c r="F59" s="4">
        <f>Bilanca!G66</f>
        <v>58</v>
      </c>
      <c r="G59" s="4" t="str">
        <f>IF(Bilanca!H66=0,"",Bilanca!H66)</f>
        <v>0</v>
      </c>
      <c r="H59" s="30">
        <f t="shared" si="2"/>
        <v>0</v>
      </c>
      <c r="I59" s="31">
        <f t="shared" si="3"/>
        <v>0</v>
      </c>
      <c r="J59" s="31">
        <f>Bilanca!I66</f>
        <v>0</v>
      </c>
      <c r="K59" s="31">
        <f>Bilanca!J66</f>
        <v>0</v>
      </c>
    </row>
    <row r="60" spans="1:11" ht="12.75">
      <c r="A60" s="4" t="s">
        <v>598</v>
      </c>
      <c r="B60" s="29" t="s">
        <v>1813</v>
      </c>
      <c r="D60" s="4" t="s">
        <v>1521</v>
      </c>
      <c r="E60" s="4">
        <v>1</v>
      </c>
      <c r="F60" s="4">
        <f>Bilanca!G67</f>
        <v>59</v>
      </c>
      <c r="G60" s="4" t="str">
        <f>IF(Bilanca!H67=0,"",Bilanca!H67)</f>
        <v>0</v>
      </c>
      <c r="H60" s="30">
        <f t="shared" si="2"/>
        <v>0</v>
      </c>
      <c r="I60" s="31">
        <f t="shared" si="3"/>
        <v>0</v>
      </c>
      <c r="J60" s="31">
        <f>Bilanca!I67</f>
        <v>0</v>
      </c>
      <c r="K60" s="31">
        <f>Bilanca!J67</f>
        <v>0</v>
      </c>
    </row>
    <row r="61" spans="1:11" ht="12.75">
      <c r="A61" s="4" t="s">
        <v>2420</v>
      </c>
      <c r="B61" s="30">
        <v>0</v>
      </c>
      <c r="D61" s="4" t="s">
        <v>1521</v>
      </c>
      <c r="E61" s="4">
        <v>1</v>
      </c>
      <c r="F61" s="4">
        <f>Bilanca!G68</f>
        <v>60</v>
      </c>
      <c r="G61" s="4" t="str">
        <f>IF(Bilanca!H68=0,"",Bilanca!H68)</f>
        <v>0</v>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0</v>
      </c>
      <c r="H62" s="30">
        <f t="shared" si="2"/>
        <v>3748427.4299999997</v>
      </c>
      <c r="I62" s="31">
        <f t="shared" si="3"/>
        <v>0</v>
      </c>
      <c r="J62" s="31">
        <f>Bilanca!I69</f>
        <v>2093891</v>
      </c>
      <c r="K62" s="31">
        <f>Bilanca!J69</f>
        <v>2025536</v>
      </c>
    </row>
    <row r="63" spans="1:11" ht="12.75">
      <c r="A63" s="4" t="s">
        <v>777</v>
      </c>
      <c r="B63" s="29" t="str">
        <f>IF(ISNUMBER(VALUE(RefStr!L21)),TEXT(INT(VALUE(RefStr!L21)),"00000000000"),"")</f>
        <v>52011850372</v>
      </c>
      <c r="D63" s="4" t="s">
        <v>1521</v>
      </c>
      <c r="E63" s="4">
        <v>1</v>
      </c>
      <c r="F63" s="4">
        <f>Bilanca!G70</f>
        <v>62</v>
      </c>
      <c r="G63" s="4" t="str">
        <f>IF(Bilanca!H70=0,"",Bilanca!H70)</f>
        <v>0</v>
      </c>
      <c r="H63" s="30">
        <f t="shared" si="2"/>
        <v>1510.3199999999997</v>
      </c>
      <c r="I63" s="31">
        <f t="shared" si="3"/>
        <v>0</v>
      </c>
      <c r="J63" s="31">
        <f>Bilanca!I70</f>
        <v>812</v>
      </c>
      <c r="K63" s="31">
        <f>Bilanca!J70</f>
        <v>812</v>
      </c>
    </row>
    <row r="64" spans="1:11" ht="12.75">
      <c r="A64" s="4" t="s">
        <v>1731</v>
      </c>
      <c r="B64" s="29" t="str">
        <f>RefStr!N6</f>
        <v>DA</v>
      </c>
      <c r="D64" s="4" t="s">
        <v>1521</v>
      </c>
      <c r="E64" s="4">
        <v>1</v>
      </c>
      <c r="F64" s="4">
        <f>Bilanca!G71</f>
        <v>63</v>
      </c>
      <c r="G64" s="4" t="str">
        <f>IF(Bilanca!H71=0,"",Bilanca!H71)</f>
        <v>0</v>
      </c>
      <c r="H64" s="30">
        <f t="shared" si="2"/>
        <v>28894.949999999997</v>
      </c>
      <c r="I64" s="31">
        <f t="shared" si="3"/>
        <v>0</v>
      </c>
      <c r="J64" s="31">
        <f>Bilanca!I71</f>
        <v>26989</v>
      </c>
      <c r="K64" s="31">
        <f>Bilanca!J71</f>
        <v>9438</v>
      </c>
    </row>
    <row r="65" spans="1:11" ht="12.75">
      <c r="A65" s="4" t="s">
        <v>687</v>
      </c>
      <c r="B65" s="29" t="str">
        <f>RefStr!N19</f>
        <v>HSFI</v>
      </c>
      <c r="D65" s="4" t="s">
        <v>1521</v>
      </c>
      <c r="E65" s="4">
        <v>1</v>
      </c>
      <c r="F65" s="4">
        <f>Bilanca!G72</f>
        <v>64</v>
      </c>
      <c r="G65" s="4" t="str">
        <f>IF(Bilanca!H72=0,"",Bilanca!H72)</f>
        <v>0</v>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t="str">
        <f>IF(Bilanca!H73=0,"",Bilanca!H73)</f>
        <v>0</v>
      </c>
      <c r="H66" s="30">
        <f t="shared" si="2"/>
        <v>243958318.5</v>
      </c>
      <c r="I66" s="31">
        <f t="shared" si="3"/>
        <v>0</v>
      </c>
      <c r="J66" s="31">
        <f>Bilanca!I73</f>
        <v>170017728</v>
      </c>
      <c r="K66" s="31">
        <f>Bilanca!J73</f>
        <v>102651381</v>
      </c>
    </row>
    <row r="67" spans="1:11" ht="12.75">
      <c r="A67" s="4" t="s">
        <v>689</v>
      </c>
      <c r="B67" s="29" t="str">
        <f>RefStr!L35</f>
        <v>01/6666 306</v>
      </c>
      <c r="D67" s="4" t="s">
        <v>1521</v>
      </c>
      <c r="E67" s="4">
        <v>1</v>
      </c>
      <c r="F67" s="4">
        <f>Bilanca!G74</f>
        <v>66</v>
      </c>
      <c r="G67" s="4" t="str">
        <f>IF(Bilanca!H74=0,"",Bilanca!H74)</f>
        <v>0</v>
      </c>
      <c r="H67" s="30">
        <f t="shared" si="2"/>
        <v>496638204.48</v>
      </c>
      <c r="I67" s="31">
        <f t="shared" si="3"/>
        <v>0</v>
      </c>
      <c r="J67" s="31">
        <f>Bilanca!I74</f>
        <v>250827376</v>
      </c>
      <c r="K67" s="31">
        <f>Bilanca!J74</f>
        <v>250827376</v>
      </c>
    </row>
    <row r="68" spans="1:11" ht="12.75">
      <c r="A68" s="4" t="s">
        <v>690</v>
      </c>
      <c r="B68" s="29">
        <f>RefStr!C44</f>
        <v>7</v>
      </c>
      <c r="D68" s="4" t="s">
        <v>1521</v>
      </c>
      <c r="E68" s="4">
        <v>1</v>
      </c>
      <c r="F68" s="4">
        <f>Bilanca!G76</f>
        <v>67</v>
      </c>
      <c r="G68" s="4" t="str">
        <f>IF(Bilanca!H76=0,"",Bilanca!H76)</f>
        <v>0</v>
      </c>
      <c r="H68" s="30">
        <f t="shared" si="2"/>
        <v>49644776.940000005</v>
      </c>
      <c r="I68" s="31">
        <f t="shared" si="3"/>
        <v>0</v>
      </c>
      <c r="J68" s="31">
        <f>Bilanca!I76</f>
        <v>62678718</v>
      </c>
      <c r="K68" s="31">
        <f>Bilanca!J76</f>
        <v>5708982</v>
      </c>
    </row>
    <row r="69" spans="1:11" ht="12.75">
      <c r="A69" s="4" t="s">
        <v>691</v>
      </c>
      <c r="B69" s="29">
        <f>RefStr!M46</f>
        <v>0</v>
      </c>
      <c r="D69" s="4" t="s">
        <v>1521</v>
      </c>
      <c r="E69" s="4">
        <v>1</v>
      </c>
      <c r="F69" s="4">
        <f>Bilanca!G77</f>
        <v>68</v>
      </c>
      <c r="G69" s="4" t="str">
        <f>IF(Bilanca!H77=0,"",Bilanca!H77)</f>
        <v>0</v>
      </c>
      <c r="H69" s="30">
        <f t="shared" si="2"/>
        <v>225350640</v>
      </c>
      <c r="I69" s="31">
        <f t="shared" si="3"/>
        <v>0</v>
      </c>
      <c r="J69" s="31">
        <f>Bilanca!I77</f>
        <v>110466000</v>
      </c>
      <c r="K69" s="31">
        <f>Bilanca!J77</f>
        <v>110466000</v>
      </c>
    </row>
    <row r="70" spans="1:11" ht="12.75">
      <c r="A70" s="4" t="s">
        <v>692</v>
      </c>
      <c r="B70" s="29">
        <f>RefStr!C46</f>
        <v>0</v>
      </c>
      <c r="D70" s="4" t="s">
        <v>1521</v>
      </c>
      <c r="E70" s="4">
        <v>1</v>
      </c>
      <c r="F70" s="4">
        <f>Bilanca!G78</f>
        <v>69</v>
      </c>
      <c r="G70" s="4" t="str">
        <f>IF(Bilanca!H78=0,"",Bilanca!H78)</f>
        <v>0</v>
      </c>
      <c r="H70" s="30">
        <f t="shared" si="2"/>
        <v>0</v>
      </c>
      <c r="I70" s="31">
        <f t="shared" si="3"/>
        <v>0</v>
      </c>
      <c r="J70" s="31">
        <f>Bilanca!I78</f>
        <v>0</v>
      </c>
      <c r="K70" s="31">
        <f>Bilanca!J78</f>
        <v>0</v>
      </c>
    </row>
    <row r="71" spans="4:11" ht="12.75">
      <c r="D71" s="4" t="s">
        <v>1521</v>
      </c>
      <c r="E71" s="4">
        <v>1</v>
      </c>
      <c r="F71" s="4">
        <f>Bilanca!G79</f>
        <v>70</v>
      </c>
      <c r="G71" s="4" t="str">
        <f>IF(Bilanca!H79=0,"",Bilanca!H79)</f>
        <v>0</v>
      </c>
      <c r="H71" s="30">
        <f t="shared" si="2"/>
        <v>43172175.900000006</v>
      </c>
      <c r="I71" s="31">
        <f t="shared" si="3"/>
        <v>0</v>
      </c>
      <c r="J71" s="31">
        <f>Bilanca!I79</f>
        <v>20558179</v>
      </c>
      <c r="K71" s="31">
        <f>Bilanca!J79</f>
        <v>20558179</v>
      </c>
    </row>
    <row r="72" spans="4:11" ht="12.75">
      <c r="D72" s="4" t="s">
        <v>1521</v>
      </c>
      <c r="E72" s="4">
        <v>1</v>
      </c>
      <c r="F72" s="4">
        <f>Bilanca!G80</f>
        <v>71</v>
      </c>
      <c r="G72" s="4" t="str">
        <f>IF(Bilanca!H80=0,"",Bilanca!H80)</f>
        <v>0</v>
      </c>
      <c r="H72" s="30">
        <f t="shared" si="2"/>
        <v>0</v>
      </c>
      <c r="I72" s="31">
        <f t="shared" si="3"/>
        <v>0</v>
      </c>
      <c r="J72" s="31">
        <f>Bilanca!I80</f>
        <v>0</v>
      </c>
      <c r="K72" s="31">
        <f>Bilanca!J80</f>
        <v>0</v>
      </c>
    </row>
    <row r="73" spans="4:11" ht="12.75">
      <c r="D73" s="4" t="s">
        <v>1521</v>
      </c>
      <c r="E73" s="4">
        <v>1</v>
      </c>
      <c r="F73" s="4">
        <f>Bilanca!G81</f>
        <v>72</v>
      </c>
      <c r="G73" s="4" t="str">
        <f>IF(Bilanca!H81=0,"",Bilanca!H81)</f>
        <v>0</v>
      </c>
      <c r="H73" s="30">
        <f t="shared" si="2"/>
        <v>0</v>
      </c>
      <c r="I73" s="31">
        <f t="shared" si="3"/>
        <v>0</v>
      </c>
      <c r="J73" s="31">
        <f>Bilanca!I81</f>
        <v>0</v>
      </c>
      <c r="K73" s="31">
        <f>Bilanca!J81</f>
        <v>0</v>
      </c>
    </row>
    <row r="74" spans="4:11" ht="12.75">
      <c r="D74" s="4" t="s">
        <v>1521</v>
      </c>
      <c r="E74" s="4">
        <v>1</v>
      </c>
      <c r="F74" s="4">
        <f>Bilanca!G82</f>
        <v>73</v>
      </c>
      <c r="G74" s="4" t="str">
        <f>IF(Bilanca!H82=0,"",Bilanca!H82)</f>
        <v>0</v>
      </c>
      <c r="H74" s="30">
        <f t="shared" si="2"/>
        <v>0</v>
      </c>
      <c r="I74" s="31">
        <f t="shared" si="3"/>
        <v>0</v>
      </c>
      <c r="J74" s="31">
        <f>Bilanca!I82</f>
        <v>0</v>
      </c>
      <c r="K74" s="31">
        <f>Bilanca!J82</f>
        <v>0</v>
      </c>
    </row>
    <row r="75" spans="4:11" ht="12.75">
      <c r="D75" s="4" t="s">
        <v>1521</v>
      </c>
      <c r="E75" s="4">
        <v>1</v>
      </c>
      <c r="F75" s="4">
        <f>Bilanca!G83</f>
        <v>74</v>
      </c>
      <c r="G75" s="4" t="str">
        <f>IF(Bilanca!H83=0,"",Bilanca!H83)</f>
        <v>0</v>
      </c>
      <c r="H75" s="30">
        <f t="shared" si="2"/>
        <v>0</v>
      </c>
      <c r="I75" s="31">
        <f t="shared" si="3"/>
        <v>0</v>
      </c>
      <c r="J75" s="31">
        <f>Bilanca!I83</f>
        <v>0</v>
      </c>
      <c r="K75" s="31">
        <f>Bilanca!J83</f>
        <v>0</v>
      </c>
    </row>
    <row r="76" spans="4:11" ht="12.75">
      <c r="D76" s="4" t="s">
        <v>1521</v>
      </c>
      <c r="E76" s="4">
        <v>1</v>
      </c>
      <c r="F76" s="4">
        <f>Bilanca!G84</f>
        <v>75</v>
      </c>
      <c r="G76" s="4" t="str">
        <f>IF(Bilanca!H84=0,"",Bilanca!H84)</f>
        <v>0</v>
      </c>
      <c r="H76" s="30">
        <f t="shared" si="2"/>
        <v>46255902.75</v>
      </c>
      <c r="I76" s="31">
        <f t="shared" si="3"/>
        <v>0</v>
      </c>
      <c r="J76" s="31">
        <f>Bilanca!I84</f>
        <v>20558179</v>
      </c>
      <c r="K76" s="31">
        <f>Bilanca!J84</f>
        <v>20558179</v>
      </c>
    </row>
    <row r="77" spans="4:11" ht="12.75">
      <c r="D77" s="4" t="s">
        <v>1521</v>
      </c>
      <c r="E77" s="4">
        <v>1</v>
      </c>
      <c r="F77" s="4">
        <f>Bilanca!G85</f>
        <v>76</v>
      </c>
      <c r="G77" s="4" t="str">
        <f>IF(Bilanca!H85=0,"",Bilanca!H85)</f>
        <v>0</v>
      </c>
      <c r="H77" s="30">
        <f t="shared" si="2"/>
        <v>40685689.52</v>
      </c>
      <c r="I77" s="31">
        <f t="shared" si="3"/>
        <v>0</v>
      </c>
      <c r="J77" s="31">
        <f>Bilanca!I85</f>
        <v>53533802</v>
      </c>
      <c r="K77" s="31">
        <f>Bilanca!J85</f>
        <v>0</v>
      </c>
    </row>
    <row r="78" spans="4:11" ht="12.75">
      <c r="D78" s="4" t="s">
        <v>1521</v>
      </c>
      <c r="E78" s="4">
        <v>1</v>
      </c>
      <c r="F78" s="4">
        <f>Bilanca!G86</f>
        <v>77</v>
      </c>
      <c r="G78" s="4" t="str">
        <f>IF(Bilanca!H86=0,"",Bilanca!H86)</f>
        <v>0</v>
      </c>
      <c r="H78" s="30">
        <f t="shared" si="2"/>
        <v>0</v>
      </c>
      <c r="I78" s="31">
        <f t="shared" si="3"/>
        <v>0</v>
      </c>
      <c r="J78" s="31">
        <f>Bilanca!I86</f>
        <v>0</v>
      </c>
      <c r="K78" s="31">
        <f>Bilanca!J86</f>
        <v>0</v>
      </c>
    </row>
    <row r="79" spans="4:11" ht="12.75">
      <c r="D79" s="4" t="s">
        <v>1521</v>
      </c>
      <c r="E79" s="4">
        <v>1</v>
      </c>
      <c r="F79" s="4">
        <f>Bilanca!G87</f>
        <v>78</v>
      </c>
      <c r="G79" s="4" t="str">
        <f>IF(Bilanca!H87=0,"",Bilanca!H87)</f>
        <v>0</v>
      </c>
      <c r="H79" s="30">
        <f t="shared" si="2"/>
        <v>0</v>
      </c>
      <c r="I79" s="31">
        <f t="shared" si="3"/>
        <v>0</v>
      </c>
      <c r="J79" s="31">
        <f>Bilanca!I87</f>
        <v>0</v>
      </c>
      <c r="K79" s="31">
        <f>Bilanca!J87</f>
        <v>0</v>
      </c>
    </row>
    <row r="80" spans="4:11" ht="12.75">
      <c r="D80" s="4" t="s">
        <v>1521</v>
      </c>
      <c r="E80" s="4">
        <v>1</v>
      </c>
      <c r="F80" s="4">
        <f>Bilanca!G88</f>
        <v>79</v>
      </c>
      <c r="G80" s="4" t="str">
        <f>IF(Bilanca!H88=0,"",Bilanca!H88)</f>
        <v>0</v>
      </c>
      <c r="H80" s="30">
        <f t="shared" si="2"/>
        <v>0</v>
      </c>
      <c r="I80" s="31">
        <f t="shared" si="3"/>
        <v>0</v>
      </c>
      <c r="J80" s="31">
        <f>Bilanca!I88</f>
        <v>0</v>
      </c>
      <c r="K80" s="31">
        <f>Bilanca!J88</f>
        <v>0</v>
      </c>
    </row>
    <row r="81" spans="4:11" ht="12.75">
      <c r="D81" s="4" t="s">
        <v>1521</v>
      </c>
      <c r="E81" s="4">
        <v>1</v>
      </c>
      <c r="F81" s="4">
        <f>Bilanca!G89</f>
        <v>80</v>
      </c>
      <c r="G81" s="4" t="str">
        <f>IF(Bilanca!H89=0,"",Bilanca!H89)</f>
        <v>0</v>
      </c>
      <c r="H81" s="30">
        <f t="shared" si="2"/>
        <v>0</v>
      </c>
      <c r="I81" s="31">
        <f t="shared" si="3"/>
        <v>0</v>
      </c>
      <c r="J81" s="31">
        <f>Bilanca!I89</f>
        <v>0</v>
      </c>
      <c r="K81" s="31">
        <f>Bilanca!J89</f>
        <v>0</v>
      </c>
    </row>
    <row r="82" spans="4:11" ht="12.75">
      <c r="D82" s="4" t="s">
        <v>1521</v>
      </c>
      <c r="E82" s="4">
        <v>1</v>
      </c>
      <c r="F82" s="4">
        <f>Bilanca!G90</f>
        <v>81</v>
      </c>
      <c r="G82" s="4" t="str">
        <f>IF(Bilanca!H90=0,"",Bilanca!H90)</f>
        <v>0</v>
      </c>
      <c r="H82" s="30">
        <f t="shared" si="2"/>
        <v>-247808625.74999997</v>
      </c>
      <c r="I82" s="31">
        <f t="shared" si="3"/>
        <v>0</v>
      </c>
      <c r="J82" s="31">
        <f>Bilanca!I90</f>
        <v>-61094547</v>
      </c>
      <c r="K82" s="31">
        <f>Bilanca!J90</f>
        <v>-122421014</v>
      </c>
    </row>
    <row r="83" spans="4:11" ht="12.75">
      <c r="D83" s="4" t="s">
        <v>1521</v>
      </c>
      <c r="E83" s="4">
        <v>1</v>
      </c>
      <c r="F83" s="4">
        <f>Bilanca!G91</f>
        <v>82</v>
      </c>
      <c r="G83" s="4" t="str">
        <f>IF(Bilanca!H91=0,"",Bilanca!H91)</f>
        <v>0</v>
      </c>
      <c r="H83" s="30">
        <f t="shared" si="2"/>
        <v>0</v>
      </c>
      <c r="I83" s="31">
        <f t="shared" si="3"/>
        <v>0</v>
      </c>
      <c r="J83" s="31">
        <f>Bilanca!I91</f>
        <v>0</v>
      </c>
      <c r="K83" s="31">
        <f>Bilanca!J91</f>
        <v>0</v>
      </c>
    </row>
    <row r="84" spans="4:11" ht="12.75">
      <c r="D84" s="4" t="s">
        <v>1521</v>
      </c>
      <c r="E84" s="4">
        <v>1</v>
      </c>
      <c r="F84" s="4">
        <f>Bilanca!G92</f>
        <v>83</v>
      </c>
      <c r="G84" s="4" t="str">
        <f>IF(Bilanca!H92=0,"",Bilanca!H92)</f>
        <v>0</v>
      </c>
      <c r="H84" s="30">
        <f t="shared" si="2"/>
        <v>253927357.24999997</v>
      </c>
      <c r="I84" s="31">
        <f t="shared" si="3"/>
        <v>0</v>
      </c>
      <c r="J84" s="31">
        <f>Bilanca!I92</f>
        <v>61094547</v>
      </c>
      <c r="K84" s="31">
        <f>Bilanca!J92</f>
        <v>122421014</v>
      </c>
    </row>
    <row r="85" spans="4:11" ht="12.75">
      <c r="D85" s="4" t="s">
        <v>1521</v>
      </c>
      <c r="E85" s="4">
        <v>1</v>
      </c>
      <c r="F85" s="4">
        <f>Bilanca!G93</f>
        <v>84</v>
      </c>
      <c r="G85" s="4" t="str">
        <f>IF(Bilanca!H93=0,"",Bilanca!H93)</f>
        <v>0</v>
      </c>
      <c r="H85" s="30">
        <f>J85/100*F85+2*K85/100*F85</f>
        <v>-55921388.88</v>
      </c>
      <c r="I85" s="31">
        <f>ABS(ROUND(J85,0)-J85)+ABS(ROUND(K85,0)-K85)</f>
        <v>0</v>
      </c>
      <c r="J85" s="31">
        <f>Bilanca!I93</f>
        <v>-60784716</v>
      </c>
      <c r="K85" s="31">
        <f>Bilanca!J93</f>
        <v>-2894183</v>
      </c>
    </row>
    <row r="86" spans="4:11" ht="12.75">
      <c r="D86" s="4" t="s">
        <v>1521</v>
      </c>
      <c r="E86" s="4">
        <v>1</v>
      </c>
      <c r="F86" s="4">
        <f>Bilanca!G94</f>
        <v>85</v>
      </c>
      <c r="G86" s="4" t="str">
        <f>IF(Bilanca!H94=0,"",Bilanca!H94)</f>
        <v>0</v>
      </c>
      <c r="H86" s="30">
        <f>J86/100*F86+2*K86/100*F86</f>
        <v>0</v>
      </c>
      <c r="I86" s="31">
        <f>ABS(ROUND(J86,0)-J86)+ABS(ROUND(K86,0)-K86)</f>
        <v>0</v>
      </c>
      <c r="J86" s="31">
        <f>Bilanca!I94</f>
        <v>0</v>
      </c>
      <c r="K86" s="31">
        <f>Bilanca!J94</f>
        <v>0</v>
      </c>
    </row>
    <row r="87" spans="4:11" ht="12.75">
      <c r="D87" s="4" t="s">
        <v>1521</v>
      </c>
      <c r="E87" s="4">
        <v>1</v>
      </c>
      <c r="F87" s="4">
        <f>Bilanca!G95</f>
        <v>86</v>
      </c>
      <c r="G87" s="4" t="str">
        <f>IF(Bilanca!H95=0,"",Bilanca!H95)</f>
        <v>0</v>
      </c>
      <c r="H87" s="30">
        <f aca="true" t="shared" si="4" ref="H87:H127">J87/100*F87+2*K87/100*F87</f>
        <v>57252850.52</v>
      </c>
      <c r="I87" s="31">
        <f aca="true" t="shared" si="5" ref="I87:I127">ABS(ROUND(J87,0)-J87)+ABS(ROUND(K87,0)-K87)</f>
        <v>0</v>
      </c>
      <c r="J87" s="31">
        <f>Bilanca!I95</f>
        <v>60784716</v>
      </c>
      <c r="K87" s="31">
        <f>Bilanca!J95</f>
        <v>2894183</v>
      </c>
    </row>
    <row r="88" spans="4:11" ht="12.75">
      <c r="D88" s="4" t="s">
        <v>1521</v>
      </c>
      <c r="E88" s="4">
        <v>1</v>
      </c>
      <c r="F88" s="4">
        <f>Bilanca!G96</f>
        <v>87</v>
      </c>
      <c r="G88" s="4" t="str">
        <f>IF(Bilanca!H96=0,"",Bilanca!H96)</f>
        <v>0</v>
      </c>
      <c r="H88" s="30">
        <f t="shared" si="4"/>
        <v>0</v>
      </c>
      <c r="I88" s="31">
        <f t="shared" si="5"/>
        <v>0</v>
      </c>
      <c r="J88" s="31">
        <f>Bilanca!I96</f>
        <v>0</v>
      </c>
      <c r="K88" s="31">
        <f>Bilanca!J96</f>
        <v>0</v>
      </c>
    </row>
    <row r="89" spans="4:11" ht="12.75">
      <c r="D89" s="4" t="s">
        <v>1521</v>
      </c>
      <c r="E89" s="4">
        <v>1</v>
      </c>
      <c r="F89" s="4">
        <f>Bilanca!G97</f>
        <v>88</v>
      </c>
      <c r="G89" s="4" t="str">
        <f>IF(Bilanca!H97=0,"",Bilanca!H97)</f>
        <v>0</v>
      </c>
      <c r="H89" s="30">
        <f t="shared" si="4"/>
        <v>0</v>
      </c>
      <c r="I89" s="31">
        <f t="shared" si="5"/>
        <v>0</v>
      </c>
      <c r="J89" s="31">
        <f>Bilanca!I97</f>
        <v>0</v>
      </c>
      <c r="K89" s="31">
        <f>Bilanca!J97</f>
        <v>0</v>
      </c>
    </row>
    <row r="90" spans="4:11" ht="12.75">
      <c r="D90" s="4" t="s">
        <v>1521</v>
      </c>
      <c r="E90" s="4">
        <v>1</v>
      </c>
      <c r="F90" s="4">
        <f>Bilanca!G98</f>
        <v>89</v>
      </c>
      <c r="G90" s="4" t="str">
        <f>IF(Bilanca!H98=0,"",Bilanca!H98)</f>
        <v>0</v>
      </c>
      <c r="H90" s="30">
        <f t="shared" si="4"/>
        <v>0</v>
      </c>
      <c r="I90" s="31">
        <f t="shared" si="5"/>
        <v>0</v>
      </c>
      <c r="J90" s="31">
        <f>Bilanca!I98</f>
        <v>0</v>
      </c>
      <c r="K90" s="31">
        <f>Bilanca!J98</f>
        <v>0</v>
      </c>
    </row>
    <row r="91" spans="4:11" ht="12.75">
      <c r="D91" s="4" t="s">
        <v>1521</v>
      </c>
      <c r="E91" s="4">
        <v>1</v>
      </c>
      <c r="F91" s="4">
        <f>Bilanca!G99</f>
        <v>90</v>
      </c>
      <c r="G91" s="4" t="str">
        <f>IF(Bilanca!H99=0,"",Bilanca!H99)</f>
        <v>0</v>
      </c>
      <c r="H91" s="30">
        <f t="shared" si="4"/>
        <v>0</v>
      </c>
      <c r="I91" s="31">
        <f t="shared" si="5"/>
        <v>0</v>
      </c>
      <c r="J91" s="31">
        <f>Bilanca!I99</f>
        <v>0</v>
      </c>
      <c r="K91" s="31">
        <f>Bilanca!J99</f>
        <v>0</v>
      </c>
    </row>
    <row r="92" spans="4:11" ht="12.75">
      <c r="D92" s="4" t="s">
        <v>1521</v>
      </c>
      <c r="E92" s="4">
        <v>1</v>
      </c>
      <c r="F92" s="4">
        <f>Bilanca!G100</f>
        <v>91</v>
      </c>
      <c r="G92" s="4" t="str">
        <f>IF(Bilanca!H100=0,"",Bilanca!H100)</f>
        <v>0</v>
      </c>
      <c r="H92" s="30">
        <f t="shared" si="4"/>
        <v>0</v>
      </c>
      <c r="I92" s="31">
        <f t="shared" si="5"/>
        <v>0</v>
      </c>
      <c r="J92" s="31">
        <f>Bilanca!I100</f>
        <v>0</v>
      </c>
      <c r="K92" s="31">
        <f>Bilanca!J100</f>
        <v>0</v>
      </c>
    </row>
    <row r="93" spans="4:11" ht="12.75">
      <c r="D93" s="4" t="s">
        <v>1521</v>
      </c>
      <c r="E93" s="4">
        <v>1</v>
      </c>
      <c r="F93" s="4">
        <f>Bilanca!G101</f>
        <v>92</v>
      </c>
      <c r="G93" s="4" t="str">
        <f>IF(Bilanca!H101=0,"",Bilanca!H101)</f>
        <v>0</v>
      </c>
      <c r="H93" s="30">
        <f t="shared" si="4"/>
        <v>0</v>
      </c>
      <c r="I93" s="31">
        <f t="shared" si="5"/>
        <v>0</v>
      </c>
      <c r="J93" s="31">
        <f>Bilanca!I101</f>
        <v>0</v>
      </c>
      <c r="K93" s="31">
        <f>Bilanca!J101</f>
        <v>0</v>
      </c>
    </row>
    <row r="94" spans="4:11" ht="12.75">
      <c r="D94" s="4" t="s">
        <v>1521</v>
      </c>
      <c r="E94" s="4">
        <v>1</v>
      </c>
      <c r="F94" s="4">
        <f>Bilanca!G102</f>
        <v>93</v>
      </c>
      <c r="G94" s="4" t="str">
        <f>IF(Bilanca!H102=0,"",Bilanca!H102)</f>
        <v>0</v>
      </c>
      <c r="H94" s="30">
        <f t="shared" si="4"/>
        <v>0</v>
      </c>
      <c r="I94" s="31">
        <f t="shared" si="5"/>
        <v>0</v>
      </c>
      <c r="J94" s="31">
        <f>Bilanca!I102</f>
        <v>0</v>
      </c>
      <c r="K94" s="31">
        <f>Bilanca!J102</f>
        <v>0</v>
      </c>
    </row>
    <row r="95" spans="4:11" ht="12.75">
      <c r="D95" s="4" t="s">
        <v>1521</v>
      </c>
      <c r="E95" s="4">
        <v>1</v>
      </c>
      <c r="F95" s="4">
        <f>Bilanca!G103</f>
        <v>94</v>
      </c>
      <c r="G95" s="4" t="str">
        <f>IF(Bilanca!H103=0,"",Bilanca!H103)</f>
        <v>0</v>
      </c>
      <c r="H95" s="30">
        <f t="shared" si="4"/>
        <v>0</v>
      </c>
      <c r="I95" s="31">
        <f t="shared" si="5"/>
        <v>0</v>
      </c>
      <c r="J95" s="31">
        <f>Bilanca!I103</f>
        <v>0</v>
      </c>
      <c r="K95" s="31">
        <f>Bilanca!J103</f>
        <v>0</v>
      </c>
    </row>
    <row r="96" spans="4:11" ht="12.75">
      <c r="D96" s="4" t="s">
        <v>1521</v>
      </c>
      <c r="E96" s="4">
        <v>1</v>
      </c>
      <c r="F96" s="4">
        <f>Bilanca!G104</f>
        <v>95</v>
      </c>
      <c r="G96" s="4" t="str">
        <f>IF(Bilanca!H104=0,"",Bilanca!H104)</f>
        <v>0</v>
      </c>
      <c r="H96" s="30">
        <f t="shared" si="4"/>
        <v>10504343.799999999</v>
      </c>
      <c r="I96" s="31">
        <f t="shared" si="5"/>
        <v>0</v>
      </c>
      <c r="J96" s="31">
        <f>Bilanca!I104</f>
        <v>11057204</v>
      </c>
      <c r="K96" s="31">
        <f>Bilanca!J104</f>
        <v>0</v>
      </c>
    </row>
    <row r="97" spans="4:11" ht="12.75">
      <c r="D97" s="4" t="s">
        <v>1521</v>
      </c>
      <c r="E97" s="4">
        <v>1</v>
      </c>
      <c r="F97" s="4">
        <f>Bilanca!G105</f>
        <v>96</v>
      </c>
      <c r="G97" s="4" t="str">
        <f>IF(Bilanca!H105=0,"",Bilanca!H105)</f>
        <v>0</v>
      </c>
      <c r="H97" s="30">
        <f t="shared" si="4"/>
        <v>0</v>
      </c>
      <c r="I97" s="31">
        <f t="shared" si="5"/>
        <v>0</v>
      </c>
      <c r="J97" s="31">
        <f>Bilanca!I105</f>
        <v>0</v>
      </c>
      <c r="K97" s="31">
        <f>Bilanca!J105</f>
        <v>0</v>
      </c>
    </row>
    <row r="98" spans="4:11" ht="12.75">
      <c r="D98" s="4" t="s">
        <v>1521</v>
      </c>
      <c r="E98" s="4">
        <v>1</v>
      </c>
      <c r="F98" s="4">
        <f>Bilanca!G106</f>
        <v>97</v>
      </c>
      <c r="G98" s="4" t="str">
        <f>IF(Bilanca!H106=0,"",Bilanca!H106)</f>
        <v>0</v>
      </c>
      <c r="H98" s="30">
        <f t="shared" si="4"/>
        <v>0</v>
      </c>
      <c r="I98" s="31">
        <f t="shared" si="5"/>
        <v>0</v>
      </c>
      <c r="J98" s="31">
        <f>Bilanca!I106</f>
        <v>0</v>
      </c>
      <c r="K98" s="31">
        <f>Bilanca!J106</f>
        <v>0</v>
      </c>
    </row>
    <row r="99" spans="4:11" ht="12.75">
      <c r="D99" s="4" t="s">
        <v>1521</v>
      </c>
      <c r="E99" s="4">
        <v>1</v>
      </c>
      <c r="F99" s="4">
        <f>Bilanca!G107</f>
        <v>98</v>
      </c>
      <c r="G99" s="4" t="str">
        <f>IF(Bilanca!H107=0,"",Bilanca!H107)</f>
        <v>0</v>
      </c>
      <c r="H99" s="30">
        <f t="shared" si="4"/>
        <v>0</v>
      </c>
      <c r="I99" s="31">
        <f t="shared" si="5"/>
        <v>0</v>
      </c>
      <c r="J99" s="31">
        <f>Bilanca!I107</f>
        <v>0</v>
      </c>
      <c r="K99" s="31">
        <f>Bilanca!J107</f>
        <v>0</v>
      </c>
    </row>
    <row r="100" spans="4:11" ht="12.75">
      <c r="D100" s="4" t="s">
        <v>1521</v>
      </c>
      <c r="E100" s="4">
        <v>1</v>
      </c>
      <c r="F100" s="4">
        <f>Bilanca!G108</f>
        <v>99</v>
      </c>
      <c r="G100" s="4" t="str">
        <f>IF(Bilanca!H108=0,"",Bilanca!H108)</f>
        <v>0</v>
      </c>
      <c r="H100" s="30">
        <f t="shared" si="4"/>
        <v>0</v>
      </c>
      <c r="I100" s="31">
        <f t="shared" si="5"/>
        <v>0</v>
      </c>
      <c r="J100" s="31">
        <f>Bilanca!I108</f>
        <v>0</v>
      </c>
      <c r="K100" s="31">
        <f>Bilanca!J108</f>
        <v>0</v>
      </c>
    </row>
    <row r="101" spans="4:11" ht="12.75">
      <c r="D101" s="4" t="s">
        <v>1521</v>
      </c>
      <c r="E101" s="4">
        <v>1</v>
      </c>
      <c r="F101" s="4">
        <f>Bilanca!G109</f>
        <v>100</v>
      </c>
      <c r="G101" s="4" t="str">
        <f>IF(Bilanca!H109=0,"",Bilanca!H109)</f>
        <v>0</v>
      </c>
      <c r="H101" s="30">
        <f t="shared" si="4"/>
        <v>0</v>
      </c>
      <c r="I101" s="31">
        <f t="shared" si="5"/>
        <v>0</v>
      </c>
      <c r="J101" s="31">
        <f>Bilanca!I109</f>
        <v>0</v>
      </c>
      <c r="K101" s="31">
        <f>Bilanca!J109</f>
        <v>0</v>
      </c>
    </row>
    <row r="102" spans="4:11" ht="12.75">
      <c r="D102" s="4" t="s">
        <v>1521</v>
      </c>
      <c r="E102" s="4">
        <v>1</v>
      </c>
      <c r="F102" s="4">
        <f>Bilanca!G110</f>
        <v>101</v>
      </c>
      <c r="G102" s="4" t="str">
        <f>IF(Bilanca!H110=0,"",Bilanca!H110)</f>
        <v>0</v>
      </c>
      <c r="H102" s="30">
        <f t="shared" si="4"/>
        <v>0</v>
      </c>
      <c r="I102" s="31">
        <f t="shared" si="5"/>
        <v>0</v>
      </c>
      <c r="J102" s="31">
        <f>Bilanca!I110</f>
        <v>0</v>
      </c>
      <c r="K102" s="31">
        <f>Bilanca!J110</f>
        <v>0</v>
      </c>
    </row>
    <row r="103" spans="4:11" ht="12.75">
      <c r="D103" s="4" t="s">
        <v>1521</v>
      </c>
      <c r="E103" s="4">
        <v>1</v>
      </c>
      <c r="F103" s="4">
        <f>Bilanca!G111</f>
        <v>102</v>
      </c>
      <c r="G103" s="4" t="str">
        <f>IF(Bilanca!H111=0,"",Bilanca!H111)</f>
        <v>0</v>
      </c>
      <c r="H103" s="30">
        <f t="shared" si="4"/>
        <v>0</v>
      </c>
      <c r="I103" s="31">
        <f t="shared" si="5"/>
        <v>0</v>
      </c>
      <c r="J103" s="31">
        <f>Bilanca!I111</f>
        <v>0</v>
      </c>
      <c r="K103" s="31">
        <f>Bilanca!J111</f>
        <v>0</v>
      </c>
    </row>
    <row r="104" spans="4:11" ht="12.75">
      <c r="D104" s="4" t="s">
        <v>1521</v>
      </c>
      <c r="E104" s="4">
        <v>1</v>
      </c>
      <c r="F104" s="4">
        <f>Bilanca!G112</f>
        <v>103</v>
      </c>
      <c r="G104" s="4" t="str">
        <f>IF(Bilanca!H112=0,"",Bilanca!H112)</f>
        <v>0</v>
      </c>
      <c r="H104" s="30">
        <f t="shared" si="4"/>
        <v>0</v>
      </c>
      <c r="I104" s="31">
        <f t="shared" si="5"/>
        <v>0</v>
      </c>
      <c r="J104" s="31">
        <f>Bilanca!I112</f>
        <v>0</v>
      </c>
      <c r="K104" s="31">
        <f>Bilanca!J112</f>
        <v>0</v>
      </c>
    </row>
    <row r="105" spans="4:11" ht="12.75">
      <c r="D105" s="4" t="s">
        <v>1521</v>
      </c>
      <c r="E105" s="4">
        <v>1</v>
      </c>
      <c r="F105" s="4">
        <f>Bilanca!G113</f>
        <v>104</v>
      </c>
      <c r="G105" s="4" t="str">
        <f>IF(Bilanca!H113=0,"",Bilanca!H113)</f>
        <v>0</v>
      </c>
      <c r="H105" s="30">
        <f t="shared" si="4"/>
        <v>0</v>
      </c>
      <c r="I105" s="31">
        <f t="shared" si="5"/>
        <v>0</v>
      </c>
      <c r="J105" s="31">
        <f>Bilanca!I113</f>
        <v>0</v>
      </c>
      <c r="K105" s="31">
        <f>Bilanca!J113</f>
        <v>0</v>
      </c>
    </row>
    <row r="106" spans="4:11" ht="12.75">
      <c r="D106" s="4" t="s">
        <v>1521</v>
      </c>
      <c r="E106" s="4">
        <v>1</v>
      </c>
      <c r="F106" s="4">
        <f>Bilanca!G114</f>
        <v>105</v>
      </c>
      <c r="G106" s="4" t="str">
        <f>IF(Bilanca!H114=0,"",Bilanca!H114)</f>
        <v>0</v>
      </c>
      <c r="H106" s="30">
        <f t="shared" si="4"/>
        <v>0</v>
      </c>
      <c r="I106" s="31">
        <f t="shared" si="5"/>
        <v>0</v>
      </c>
      <c r="J106" s="31">
        <f>Bilanca!I114</f>
        <v>0</v>
      </c>
      <c r="K106" s="31">
        <f>Bilanca!J114</f>
        <v>0</v>
      </c>
    </row>
    <row r="107" spans="4:11" ht="12.75">
      <c r="D107" s="4" t="s">
        <v>1521</v>
      </c>
      <c r="E107" s="4">
        <v>1</v>
      </c>
      <c r="F107" s="4">
        <f>Bilanca!G115</f>
        <v>106</v>
      </c>
      <c r="G107" s="4" t="str">
        <f>IF(Bilanca!H115=0,"",Bilanca!H115)</f>
        <v>0</v>
      </c>
      <c r="H107" s="30">
        <f t="shared" si="4"/>
        <v>11720636.24</v>
      </c>
      <c r="I107" s="31">
        <f t="shared" si="5"/>
        <v>0</v>
      </c>
      <c r="J107" s="31">
        <f>Bilanca!I115</f>
        <v>11057204</v>
      </c>
      <c r="K107" s="31">
        <f>Bilanca!J115</f>
        <v>0</v>
      </c>
    </row>
    <row r="108" spans="4:11" ht="12.75">
      <c r="D108" s="4" t="s">
        <v>1521</v>
      </c>
      <c r="E108" s="4">
        <v>1</v>
      </c>
      <c r="F108" s="4">
        <f>Bilanca!G116</f>
        <v>107</v>
      </c>
      <c r="G108" s="4" t="str">
        <f>IF(Bilanca!H116=0,"",Bilanca!H116)</f>
        <v>0</v>
      </c>
      <c r="H108" s="30">
        <f t="shared" si="4"/>
        <v>310392138.77</v>
      </c>
      <c r="I108" s="31">
        <f t="shared" si="5"/>
        <v>0</v>
      </c>
      <c r="J108" s="31">
        <f>Bilanca!I116</f>
        <v>96201313</v>
      </c>
      <c r="K108" s="31">
        <f>Bilanca!J116</f>
        <v>96942399</v>
      </c>
    </row>
    <row r="109" spans="4:11" ht="12.75">
      <c r="D109" s="4" t="s">
        <v>1521</v>
      </c>
      <c r="E109" s="4">
        <v>1</v>
      </c>
      <c r="F109" s="4">
        <f>Bilanca!G117</f>
        <v>108</v>
      </c>
      <c r="G109" s="4" t="str">
        <f>IF(Bilanca!H117=0,"",Bilanca!H117)</f>
        <v>0</v>
      </c>
      <c r="H109" s="30">
        <f t="shared" si="4"/>
        <v>0</v>
      </c>
      <c r="I109" s="31">
        <f t="shared" si="5"/>
        <v>0</v>
      </c>
      <c r="J109" s="31">
        <f>Bilanca!I117</f>
        <v>0</v>
      </c>
      <c r="K109" s="31">
        <f>Bilanca!J117</f>
        <v>0</v>
      </c>
    </row>
    <row r="110" spans="4:11" ht="12.75">
      <c r="D110" s="4" t="s">
        <v>1521</v>
      </c>
      <c r="E110" s="4">
        <v>1</v>
      </c>
      <c r="F110" s="4">
        <f>Bilanca!G118</f>
        <v>109</v>
      </c>
      <c r="G110" s="4" t="str">
        <f>IF(Bilanca!H118=0,"",Bilanca!H118)</f>
        <v>0</v>
      </c>
      <c r="H110" s="30">
        <f t="shared" si="4"/>
        <v>0</v>
      </c>
      <c r="I110" s="31">
        <f t="shared" si="5"/>
        <v>0</v>
      </c>
      <c r="J110" s="31">
        <f>Bilanca!I118</f>
        <v>0</v>
      </c>
      <c r="K110" s="31">
        <f>Bilanca!J118</f>
        <v>0</v>
      </c>
    </row>
    <row r="111" spans="4:11" ht="12.75">
      <c r="D111" s="4" t="s">
        <v>1521</v>
      </c>
      <c r="E111" s="4">
        <v>1</v>
      </c>
      <c r="F111" s="4">
        <f>Bilanca!G119</f>
        <v>110</v>
      </c>
      <c r="G111" s="4" t="str">
        <f>IF(Bilanca!H119=0,"",Bilanca!H119)</f>
        <v>0</v>
      </c>
      <c r="H111" s="30">
        <f t="shared" si="4"/>
        <v>0</v>
      </c>
      <c r="I111" s="31">
        <f t="shared" si="5"/>
        <v>0</v>
      </c>
      <c r="J111" s="31">
        <f>Bilanca!I119</f>
        <v>0</v>
      </c>
      <c r="K111" s="31">
        <f>Bilanca!J119</f>
        <v>0</v>
      </c>
    </row>
    <row r="112" spans="4:11" ht="12.75">
      <c r="D112" s="4" t="s">
        <v>1521</v>
      </c>
      <c r="E112" s="4">
        <v>1</v>
      </c>
      <c r="F112" s="4">
        <f>Bilanca!G120</f>
        <v>111</v>
      </c>
      <c r="G112" s="4" t="str">
        <f>IF(Bilanca!H120=0,"",Bilanca!H120)</f>
        <v>0</v>
      </c>
      <c r="H112" s="30">
        <f t="shared" si="4"/>
        <v>0</v>
      </c>
      <c r="I112" s="31">
        <f t="shared" si="5"/>
        <v>0</v>
      </c>
      <c r="J112" s="31">
        <f>Bilanca!I120</f>
        <v>0</v>
      </c>
      <c r="K112" s="31">
        <f>Bilanca!J120</f>
        <v>0</v>
      </c>
    </row>
    <row r="113" spans="4:11" ht="12.75">
      <c r="D113" s="4" t="s">
        <v>1521</v>
      </c>
      <c r="E113" s="4">
        <v>1</v>
      </c>
      <c r="F113" s="4">
        <f>Bilanca!G121</f>
        <v>112</v>
      </c>
      <c r="G113" s="4" t="str">
        <f>IF(Bilanca!H121=0,"",Bilanca!H121)</f>
        <v>0</v>
      </c>
      <c r="H113" s="30">
        <f t="shared" si="4"/>
        <v>293363.84</v>
      </c>
      <c r="I113" s="31">
        <f t="shared" si="5"/>
        <v>0</v>
      </c>
      <c r="J113" s="31">
        <f>Bilanca!I121</f>
        <v>49200</v>
      </c>
      <c r="K113" s="31">
        <f>Bilanca!J121</f>
        <v>106366</v>
      </c>
    </row>
    <row r="114" spans="4:11" ht="12.75">
      <c r="D114" s="4" t="s">
        <v>1521</v>
      </c>
      <c r="E114" s="4">
        <v>1</v>
      </c>
      <c r="F114" s="4">
        <f>Bilanca!G122</f>
        <v>113</v>
      </c>
      <c r="G114" s="4" t="str">
        <f>IF(Bilanca!H122=0,"",Bilanca!H122)</f>
        <v>0</v>
      </c>
      <c r="H114" s="30">
        <f t="shared" si="4"/>
        <v>26242584.380000003</v>
      </c>
      <c r="I114" s="31">
        <f t="shared" si="5"/>
        <v>0</v>
      </c>
      <c r="J114" s="31">
        <f>Bilanca!I122</f>
        <v>7763706</v>
      </c>
      <c r="K114" s="31">
        <f>Bilanca!J122</f>
        <v>7729910</v>
      </c>
    </row>
    <row r="115" spans="4:11" ht="12.75">
      <c r="D115" s="4" t="s">
        <v>1521</v>
      </c>
      <c r="E115" s="4">
        <v>1</v>
      </c>
      <c r="F115" s="4">
        <f>Bilanca!G123</f>
        <v>114</v>
      </c>
      <c r="G115" s="4" t="str">
        <f>IF(Bilanca!H123=0,"",Bilanca!H123)</f>
        <v>0</v>
      </c>
      <c r="H115" s="30">
        <f t="shared" si="4"/>
        <v>219761.22000000003</v>
      </c>
      <c r="I115" s="31">
        <f t="shared" si="5"/>
        <v>0</v>
      </c>
      <c r="J115" s="31">
        <f>Bilanca!I123</f>
        <v>101011</v>
      </c>
      <c r="K115" s="31">
        <f>Bilanca!J123</f>
        <v>45881</v>
      </c>
    </row>
    <row r="116" spans="4:11" ht="12.75">
      <c r="D116" s="4" t="s">
        <v>1521</v>
      </c>
      <c r="E116" s="4">
        <v>1</v>
      </c>
      <c r="F116" s="4">
        <f>Bilanca!G124</f>
        <v>115</v>
      </c>
      <c r="G116" s="4" t="str">
        <f>IF(Bilanca!H124=0,"",Bilanca!H124)</f>
        <v>0</v>
      </c>
      <c r="H116" s="30">
        <f t="shared" si="4"/>
        <v>272559502.45000005</v>
      </c>
      <c r="I116" s="31">
        <f t="shared" si="5"/>
        <v>0</v>
      </c>
      <c r="J116" s="31">
        <f>Bilanca!I124</f>
        <v>79293267</v>
      </c>
      <c r="K116" s="31">
        <f>Bilanca!J124</f>
        <v>78857498</v>
      </c>
    </row>
    <row r="117" spans="4:11" ht="12.75">
      <c r="D117" s="4" t="s">
        <v>1521</v>
      </c>
      <c r="E117" s="4">
        <v>1</v>
      </c>
      <c r="F117" s="4">
        <f>Bilanca!G125</f>
        <v>116</v>
      </c>
      <c r="G117" s="4" t="str">
        <f>IF(Bilanca!H125=0,"",Bilanca!H125)</f>
        <v>0</v>
      </c>
      <c r="H117" s="30">
        <f t="shared" si="4"/>
        <v>0</v>
      </c>
      <c r="I117" s="31">
        <f t="shared" si="5"/>
        <v>0</v>
      </c>
      <c r="J117" s="31">
        <f>Bilanca!I125</f>
        <v>0</v>
      </c>
      <c r="K117" s="31">
        <f>Bilanca!J125</f>
        <v>0</v>
      </c>
    </row>
    <row r="118" spans="4:11" ht="12.75">
      <c r="D118" s="4" t="s">
        <v>1521</v>
      </c>
      <c r="E118" s="4">
        <v>1</v>
      </c>
      <c r="F118" s="4">
        <f>Bilanca!G126</f>
        <v>117</v>
      </c>
      <c r="G118" s="4" t="str">
        <f>IF(Bilanca!H126=0,"",Bilanca!H126)</f>
        <v>0</v>
      </c>
      <c r="H118" s="30">
        <f t="shared" si="4"/>
        <v>625974.5700000001</v>
      </c>
      <c r="I118" s="31">
        <f t="shared" si="5"/>
        <v>0</v>
      </c>
      <c r="J118" s="31">
        <f>Bilanca!I126</f>
        <v>119087</v>
      </c>
      <c r="K118" s="31">
        <f>Bilanca!J126</f>
        <v>207967</v>
      </c>
    </row>
    <row r="119" spans="4:11" ht="12.75">
      <c r="D119" s="4" t="s">
        <v>1521</v>
      </c>
      <c r="E119" s="4">
        <v>1</v>
      </c>
      <c r="F119" s="4">
        <f>Bilanca!G127</f>
        <v>118</v>
      </c>
      <c r="G119" s="4" t="str">
        <f>IF(Bilanca!H127=0,"",Bilanca!H127)</f>
        <v>0</v>
      </c>
      <c r="H119" s="30">
        <f t="shared" si="4"/>
        <v>31704750.939999998</v>
      </c>
      <c r="I119" s="31">
        <f t="shared" si="5"/>
        <v>0</v>
      </c>
      <c r="J119" s="31">
        <f>Bilanca!I127</f>
        <v>8265305</v>
      </c>
      <c r="K119" s="31">
        <f>Bilanca!J127</f>
        <v>9301564</v>
      </c>
    </row>
    <row r="120" spans="4:11" ht="12.75">
      <c r="D120" s="4" t="s">
        <v>1521</v>
      </c>
      <c r="E120" s="4">
        <v>1</v>
      </c>
      <c r="F120" s="4">
        <f>Bilanca!G128</f>
        <v>119</v>
      </c>
      <c r="G120" s="4" t="str">
        <f>IF(Bilanca!H128=0,"",Bilanca!H128)</f>
        <v>0</v>
      </c>
      <c r="H120" s="30">
        <f t="shared" si="4"/>
        <v>0</v>
      </c>
      <c r="I120" s="31">
        <f t="shared" si="5"/>
        <v>0</v>
      </c>
      <c r="J120" s="31">
        <f>Bilanca!I128</f>
        <v>0</v>
      </c>
      <c r="K120" s="31">
        <f>Bilanca!J128</f>
        <v>0</v>
      </c>
    </row>
    <row r="121" spans="4:11" ht="12.75">
      <c r="D121" s="4" t="s">
        <v>1521</v>
      </c>
      <c r="E121" s="4">
        <v>1</v>
      </c>
      <c r="F121" s="4">
        <f>Bilanca!G129</f>
        <v>120</v>
      </c>
      <c r="G121" s="4" t="str">
        <f>IF(Bilanca!H129=0,"",Bilanca!H129)</f>
        <v>0</v>
      </c>
      <c r="H121" s="30">
        <f t="shared" si="4"/>
        <v>0</v>
      </c>
      <c r="I121" s="31">
        <f t="shared" si="5"/>
        <v>0</v>
      </c>
      <c r="J121" s="31">
        <f>Bilanca!I129</f>
        <v>0</v>
      </c>
      <c r="K121" s="31">
        <f>Bilanca!J129</f>
        <v>0</v>
      </c>
    </row>
    <row r="122" spans="4:11" ht="12.75">
      <c r="D122" s="4" t="s">
        <v>1521</v>
      </c>
      <c r="E122" s="4">
        <v>1</v>
      </c>
      <c r="F122" s="4">
        <f>Bilanca!G130</f>
        <v>121</v>
      </c>
      <c r="G122" s="4" t="str">
        <f>IF(Bilanca!H130=0,"",Bilanca!H130)</f>
        <v>0</v>
      </c>
      <c r="H122" s="30">
        <f t="shared" si="4"/>
        <v>2415357.23</v>
      </c>
      <c r="I122" s="31">
        <f t="shared" si="5"/>
        <v>0</v>
      </c>
      <c r="J122" s="31">
        <f>Bilanca!I130</f>
        <v>609737</v>
      </c>
      <c r="K122" s="31">
        <f>Bilanca!J130</f>
        <v>693213</v>
      </c>
    </row>
    <row r="123" spans="4:11" ht="12.75">
      <c r="D123" s="4" t="s">
        <v>1521</v>
      </c>
      <c r="E123" s="4">
        <v>1</v>
      </c>
      <c r="F123" s="4">
        <f>Bilanca!G131</f>
        <v>122</v>
      </c>
      <c r="G123" s="4" t="str">
        <f>IF(Bilanca!H131=0,"",Bilanca!H131)</f>
        <v>0</v>
      </c>
      <c r="H123" s="30">
        <f t="shared" si="4"/>
        <v>98201.45999999999</v>
      </c>
      <c r="I123" s="31">
        <f t="shared" si="5"/>
        <v>0</v>
      </c>
      <c r="J123" s="31">
        <f>Bilanca!I131</f>
        <v>80493</v>
      </c>
      <c r="K123" s="31">
        <f>Bilanca!J131</f>
        <v>0</v>
      </c>
    </row>
    <row r="124" spans="4:11" ht="12.75">
      <c r="D124" s="4" t="s">
        <v>1521</v>
      </c>
      <c r="E124" s="4">
        <v>1</v>
      </c>
      <c r="F124" s="4">
        <f>Bilanca!G132</f>
        <v>123</v>
      </c>
      <c r="G124" s="4" t="str">
        <f>IF(Bilanca!H132=0,"",Bilanca!H132)</f>
        <v>0</v>
      </c>
      <c r="H124" s="30">
        <f t="shared" si="4"/>
        <v>461644202.70000005</v>
      </c>
      <c r="I124" s="31">
        <f t="shared" si="5"/>
        <v>0</v>
      </c>
      <c r="J124" s="31">
        <f>Bilanca!I132</f>
        <v>170017728</v>
      </c>
      <c r="K124" s="31">
        <f>Bilanca!J132</f>
        <v>102651381</v>
      </c>
    </row>
    <row r="125" spans="4:11" ht="12.75">
      <c r="D125" s="4" t="s">
        <v>1521</v>
      </c>
      <c r="E125" s="4">
        <v>1</v>
      </c>
      <c r="F125" s="4">
        <f>Bilanca!G133</f>
        <v>124</v>
      </c>
      <c r="G125" s="4" t="str">
        <f>IF(Bilanca!H133=0,"",Bilanca!H133)</f>
        <v>0</v>
      </c>
      <c r="H125" s="30">
        <f t="shared" si="4"/>
        <v>933077838.7199998</v>
      </c>
      <c r="I125" s="31">
        <f t="shared" si="5"/>
        <v>0</v>
      </c>
      <c r="J125" s="31">
        <f>Bilanca!I133</f>
        <v>250827376</v>
      </c>
      <c r="K125" s="31">
        <f>Bilanca!J133</f>
        <v>250827376</v>
      </c>
    </row>
    <row r="126" spans="4:11" ht="12.75">
      <c r="D126" s="4" t="s">
        <v>541</v>
      </c>
      <c r="E126" s="4">
        <v>2</v>
      </c>
      <c r="F126" s="4">
        <f>RDG!G8</f>
        <v>125</v>
      </c>
      <c r="G126" s="4">
        <f>IF(RDG!H8=0,"",RDG!H8)</f>
      </c>
      <c r="H126" s="30">
        <f t="shared" si="4"/>
        <v>26476570</v>
      </c>
      <c r="I126" s="4">
        <f t="shared" si="5"/>
        <v>0</v>
      </c>
      <c r="J126" s="31">
        <f>RDG!I8</f>
        <v>5139512</v>
      </c>
      <c r="K126" s="31">
        <f>RDG!J8</f>
        <v>8020872</v>
      </c>
    </row>
    <row r="127" spans="4:11" ht="12.75">
      <c r="D127" s="4" t="s">
        <v>541</v>
      </c>
      <c r="E127" s="4">
        <v>2</v>
      </c>
      <c r="F127" s="4">
        <f>RDG!G9</f>
        <v>126</v>
      </c>
      <c r="G127" s="4">
        <f>IF(RDG!H9=0,"",RDG!H9)</f>
      </c>
      <c r="H127" s="30">
        <f t="shared" si="4"/>
        <v>153021.96</v>
      </c>
      <c r="I127" s="4">
        <f t="shared" si="5"/>
        <v>0</v>
      </c>
      <c r="J127" s="31">
        <f>RDG!I9</f>
        <v>121446</v>
      </c>
      <c r="K127" s="31">
        <f>RDG!J9</f>
        <v>0</v>
      </c>
    </row>
    <row r="128" spans="4:11" ht="12.75">
      <c r="D128" s="4" t="s">
        <v>541</v>
      </c>
      <c r="E128" s="4">
        <v>2</v>
      </c>
      <c r="F128" s="4">
        <f>RDG!G10</f>
        <v>127</v>
      </c>
      <c r="G128" s="4">
        <f>IF(RDG!H10=0,"",RDG!H10)</f>
      </c>
      <c r="H128" s="30">
        <f aca="true" t="shared" si="6" ref="H128:H190">J128/100*F128+2*K128/100*F128</f>
        <v>2126529.91</v>
      </c>
      <c r="I128" s="4">
        <f aca="true" t="shared" si="7" ref="I128:I190">ABS(ROUND(J128,0)-J128)+ABS(ROUND(K128,0)-K128)</f>
        <v>0</v>
      </c>
      <c r="J128" s="31">
        <f>RDG!I10</f>
        <v>1589347</v>
      </c>
      <c r="K128" s="31">
        <f>RDG!J10</f>
        <v>42543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22928.460000000003</v>
      </c>
      <c r="I130" s="4">
        <f t="shared" si="7"/>
        <v>0</v>
      </c>
      <c r="J130" s="31">
        <f>RDG!I12</f>
        <v>0</v>
      </c>
      <c r="K130" s="31">
        <f>RDG!J12</f>
        <v>8887</v>
      </c>
    </row>
    <row r="131" spans="4:11" ht="12.75">
      <c r="D131" s="4" t="s">
        <v>541</v>
      </c>
      <c r="E131" s="4">
        <v>2</v>
      </c>
      <c r="F131" s="4">
        <f>RDG!G13</f>
        <v>130</v>
      </c>
      <c r="G131" s="4">
        <f>IF(RDG!H13=0,"",RDG!H13)</f>
      </c>
      <c r="H131" s="30">
        <f t="shared" si="6"/>
        <v>25177883.9</v>
      </c>
      <c r="I131" s="4">
        <f t="shared" si="7"/>
        <v>0</v>
      </c>
      <c r="J131" s="31">
        <f>RDG!I13</f>
        <v>3428719</v>
      </c>
      <c r="K131" s="31">
        <f>RDG!J13</f>
        <v>7969442</v>
      </c>
    </row>
    <row r="132" spans="4:11" ht="12.75">
      <c r="D132" s="4" t="s">
        <v>541</v>
      </c>
      <c r="E132" s="4">
        <v>2</v>
      </c>
      <c r="F132" s="4">
        <f>RDG!G14</f>
        <v>131</v>
      </c>
      <c r="G132" s="4">
        <f>IF(RDG!H14=0,"",RDG!H14)</f>
      </c>
      <c r="H132" s="30">
        <f t="shared" si="6"/>
        <v>108536498.59</v>
      </c>
      <c r="I132" s="4">
        <f t="shared" si="7"/>
        <v>0</v>
      </c>
      <c r="J132" s="31">
        <f>RDG!I14</f>
        <v>62480375</v>
      </c>
      <c r="K132" s="31">
        <f>RDG!J14</f>
        <v>10185957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14504850.989999998</v>
      </c>
      <c r="I134" s="4">
        <f t="shared" si="7"/>
        <v>0</v>
      </c>
      <c r="J134" s="31">
        <f>RDG!I16</f>
        <v>5197697</v>
      </c>
      <c r="K134" s="31">
        <f>RDG!J16</f>
        <v>2854103</v>
      </c>
    </row>
    <row r="135" spans="4:11" ht="12.75">
      <c r="D135" s="4" t="s">
        <v>541</v>
      </c>
      <c r="E135" s="4">
        <v>2</v>
      </c>
      <c r="F135" s="4">
        <f>RDG!G17</f>
        <v>134</v>
      </c>
      <c r="G135" s="4">
        <f>IF(RDG!H17=0,"",RDG!H17)</f>
      </c>
      <c r="H135" s="30">
        <f t="shared" si="6"/>
        <v>2023194.98</v>
      </c>
      <c r="I135" s="4">
        <f t="shared" si="7"/>
        <v>0</v>
      </c>
      <c r="J135" s="31">
        <f>RDG!I17</f>
        <v>505473</v>
      </c>
      <c r="K135" s="31">
        <f>RDG!J17</f>
        <v>502187</v>
      </c>
    </row>
    <row r="136" spans="4:11" ht="12.75">
      <c r="D136" s="4" t="s">
        <v>541</v>
      </c>
      <c r="E136" s="4">
        <v>2</v>
      </c>
      <c r="F136" s="4">
        <f>RDG!G18</f>
        <v>135</v>
      </c>
      <c r="G136" s="4">
        <f>IF(RDG!H18=0,"",RDG!H18)</f>
      </c>
      <c r="H136" s="30">
        <f t="shared" si="6"/>
        <v>457081.65</v>
      </c>
      <c r="I136" s="4">
        <f t="shared" si="7"/>
        <v>0</v>
      </c>
      <c r="J136" s="31">
        <f>RDG!I18</f>
        <v>311065</v>
      </c>
      <c r="K136" s="31">
        <f>RDG!J18</f>
        <v>13757</v>
      </c>
    </row>
    <row r="137" spans="4:11" ht="12.75">
      <c r="D137" s="4" t="s">
        <v>541</v>
      </c>
      <c r="E137" s="4">
        <v>2</v>
      </c>
      <c r="F137" s="4">
        <f>RDG!G19</f>
        <v>136</v>
      </c>
      <c r="G137" s="4">
        <f>IF(RDG!H19=0,"",RDG!H19)</f>
      </c>
      <c r="H137" s="30">
        <f t="shared" si="6"/>
        <v>12318168.719999999</v>
      </c>
      <c r="I137" s="4">
        <f t="shared" si="7"/>
        <v>0</v>
      </c>
      <c r="J137" s="31">
        <f>RDG!I19</f>
        <v>4381159</v>
      </c>
      <c r="K137" s="31">
        <f>RDG!J19</f>
        <v>2338159</v>
      </c>
    </row>
    <row r="138" spans="4:11" ht="12.75">
      <c r="D138" s="4" t="s">
        <v>541</v>
      </c>
      <c r="E138" s="4">
        <v>2</v>
      </c>
      <c r="F138" s="4">
        <f>RDG!G20</f>
        <v>137</v>
      </c>
      <c r="G138" s="4">
        <f>IF(RDG!H20=0,"",RDG!H20)</f>
      </c>
      <c r="H138" s="30">
        <f t="shared" si="6"/>
        <v>4325555.8</v>
      </c>
      <c r="I138" s="4">
        <f t="shared" si="7"/>
        <v>0</v>
      </c>
      <c r="J138" s="31">
        <f>RDG!I20</f>
        <v>1283490</v>
      </c>
      <c r="K138" s="31">
        <f>RDG!J20</f>
        <v>936925</v>
      </c>
    </row>
    <row r="139" spans="4:11" ht="12.75">
      <c r="D139" s="4" t="s">
        <v>541</v>
      </c>
      <c r="E139" s="4">
        <v>2</v>
      </c>
      <c r="F139" s="4">
        <f>RDG!G21</f>
        <v>138</v>
      </c>
      <c r="G139" s="4">
        <f>IF(RDG!H21=0,"",RDG!H21)</f>
      </c>
      <c r="H139" s="30">
        <f t="shared" si="6"/>
        <v>2742560.9400000004</v>
      </c>
      <c r="I139" s="4">
        <f t="shared" si="7"/>
        <v>0</v>
      </c>
      <c r="J139" s="31">
        <f>RDG!I21</f>
        <v>798355</v>
      </c>
      <c r="K139" s="31">
        <f>RDG!J21</f>
        <v>594504</v>
      </c>
    </row>
    <row r="140" spans="4:11" ht="12.75">
      <c r="D140" s="4" t="s">
        <v>541</v>
      </c>
      <c r="E140" s="4">
        <v>2</v>
      </c>
      <c r="F140" s="4">
        <f>RDG!G22</f>
        <v>139</v>
      </c>
      <c r="G140" s="4">
        <f>IF(RDG!H22=0,"",RDG!H22)</f>
      </c>
      <c r="H140" s="30">
        <f t="shared" si="6"/>
        <v>652880.22</v>
      </c>
      <c r="I140" s="4">
        <f t="shared" si="7"/>
        <v>0</v>
      </c>
      <c r="J140" s="31">
        <f>RDG!I22</f>
        <v>300194</v>
      </c>
      <c r="K140" s="31">
        <f>RDG!J22</f>
        <v>84752</v>
      </c>
    </row>
    <row r="141" spans="4:11" ht="12.75">
      <c r="D141" s="4" t="s">
        <v>541</v>
      </c>
      <c r="E141" s="4">
        <v>2</v>
      </c>
      <c r="F141" s="4">
        <f>RDG!G23</f>
        <v>140</v>
      </c>
      <c r="G141" s="4">
        <f>IF(RDG!H23=0,"",RDG!H23)</f>
      </c>
      <c r="H141" s="30">
        <f t="shared" si="6"/>
        <v>980390.6000000001</v>
      </c>
      <c r="I141" s="4">
        <f t="shared" si="7"/>
        <v>0</v>
      </c>
      <c r="J141" s="31">
        <f>RDG!I23</f>
        <v>184941</v>
      </c>
      <c r="K141" s="31">
        <f>RDG!J23</f>
        <v>257669</v>
      </c>
    </row>
    <row r="142" spans="4:11" ht="12.75">
      <c r="D142" s="4" t="s">
        <v>541</v>
      </c>
      <c r="E142" s="4">
        <v>2</v>
      </c>
      <c r="F142" s="4">
        <f>RDG!G24</f>
        <v>141</v>
      </c>
      <c r="G142" s="4">
        <f>IF(RDG!H24=0,"",RDG!H24)</f>
      </c>
      <c r="H142" s="30">
        <f t="shared" si="6"/>
        <v>6354968.7</v>
      </c>
      <c r="I142" s="4">
        <f t="shared" si="7"/>
        <v>0</v>
      </c>
      <c r="J142" s="31">
        <f>RDG!I24</f>
        <v>1150558</v>
      </c>
      <c r="K142" s="31">
        <f>RDG!J24</f>
        <v>1678256</v>
      </c>
    </row>
    <row r="143" spans="4:11" ht="12.75">
      <c r="D143" s="4" t="s">
        <v>541</v>
      </c>
      <c r="E143" s="4">
        <v>2</v>
      </c>
      <c r="F143" s="4">
        <f>RDG!G25</f>
        <v>142</v>
      </c>
      <c r="G143" s="4">
        <f>IF(RDG!H25=0,"",RDG!H25)</f>
      </c>
      <c r="H143" s="30">
        <f t="shared" si="6"/>
        <v>1823583.88</v>
      </c>
      <c r="I143" s="4">
        <f t="shared" si="7"/>
        <v>0</v>
      </c>
      <c r="J143" s="31">
        <f>RDG!I25</f>
        <v>623070</v>
      </c>
      <c r="K143" s="31">
        <f>RDG!J25</f>
        <v>330572</v>
      </c>
    </row>
    <row r="144" spans="4:11" ht="12.75">
      <c r="D144" s="4" t="s">
        <v>541</v>
      </c>
      <c r="E144" s="4">
        <v>2</v>
      </c>
      <c r="F144" s="4">
        <f>RDG!G26</f>
        <v>143</v>
      </c>
      <c r="G144" s="4">
        <f>IF(RDG!H26=0,"",RDG!H26)</f>
      </c>
      <c r="H144" s="30">
        <f t="shared" si="6"/>
        <v>76971739.13000001</v>
      </c>
      <c r="I144" s="4">
        <f t="shared" si="7"/>
        <v>0</v>
      </c>
      <c r="J144" s="31">
        <f>RDG!I26</f>
        <v>53826391</v>
      </c>
      <c r="K144" s="31">
        <f>RDG!J26</f>
        <v>0</v>
      </c>
    </row>
    <row r="145" spans="4:11" ht="12.75">
      <c r="D145" s="4" t="s">
        <v>541</v>
      </c>
      <c r="E145" s="4">
        <v>2</v>
      </c>
      <c r="F145" s="4">
        <f>RDG!G27</f>
        <v>144</v>
      </c>
      <c r="G145" s="4">
        <f>IF(RDG!H27=0,"",RDG!H27)</f>
      </c>
      <c r="H145" s="30">
        <f t="shared" si="6"/>
        <v>39960</v>
      </c>
      <c r="I145" s="4">
        <f t="shared" si="7"/>
        <v>0</v>
      </c>
      <c r="J145" s="31">
        <f>RDG!I27</f>
        <v>27750</v>
      </c>
      <c r="K145" s="31">
        <f>RDG!J27</f>
        <v>0</v>
      </c>
    </row>
    <row r="146" spans="4:11" ht="12.75">
      <c r="D146" s="4" t="s">
        <v>541</v>
      </c>
      <c r="E146" s="4">
        <v>2</v>
      </c>
      <c r="F146" s="4">
        <f>RDG!G28</f>
        <v>145</v>
      </c>
      <c r="G146" s="4">
        <f>IF(RDG!H28=0,"",RDG!H28)</f>
      </c>
      <c r="H146" s="30">
        <f t="shared" si="6"/>
        <v>78008029.45</v>
      </c>
      <c r="I146" s="4">
        <f t="shared" si="7"/>
        <v>0</v>
      </c>
      <c r="J146" s="31">
        <f>RDG!I28</f>
        <v>53798641</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14032197.63</v>
      </c>
      <c r="I154" s="4">
        <f t="shared" si="7"/>
        <v>0</v>
      </c>
      <c r="J154" s="31">
        <f>RDG!I36</f>
        <v>399169</v>
      </c>
      <c r="K154" s="31">
        <f>RDG!J36</f>
        <v>4386101</v>
      </c>
    </row>
    <row r="155" spans="4:11" ht="12.75">
      <c r="D155" s="4" t="s">
        <v>541</v>
      </c>
      <c r="E155" s="4">
        <v>2</v>
      </c>
      <c r="F155" s="4">
        <f>RDG!G37</f>
        <v>154</v>
      </c>
      <c r="G155" s="4">
        <f>IF(RDG!H37=0,"",RDG!H37)</f>
      </c>
      <c r="H155" s="30">
        <f t="shared" si="6"/>
        <v>1258894.56</v>
      </c>
      <c r="I155" s="4">
        <f t="shared" si="7"/>
        <v>0</v>
      </c>
      <c r="J155" s="31">
        <f>RDG!I37</f>
        <v>780310</v>
      </c>
      <c r="K155" s="31">
        <f>RDG!J37</f>
        <v>18577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1199370.0999999999</v>
      </c>
      <c r="I159" s="4">
        <f t="shared" si="7"/>
        <v>0</v>
      </c>
      <c r="J159" s="31">
        <f>RDG!I41</f>
        <v>759095</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78064.07</v>
      </c>
      <c r="I162" s="4">
        <f t="shared" si="7"/>
        <v>0</v>
      </c>
      <c r="J162" s="31">
        <f>RDG!I44</f>
        <v>21055</v>
      </c>
      <c r="K162" s="31">
        <f>RDG!J44</f>
        <v>13716</v>
      </c>
    </row>
    <row r="163" spans="4:11" ht="12.75">
      <c r="D163" s="4" t="s">
        <v>541</v>
      </c>
      <c r="E163" s="4">
        <v>2</v>
      </c>
      <c r="F163" s="4">
        <f>RDG!G45</f>
        <v>162</v>
      </c>
      <c r="G163" s="4">
        <f>IF(RDG!H45=0,"",RDG!H45)</f>
      </c>
      <c r="H163" s="30">
        <f t="shared" si="6"/>
        <v>16008.84</v>
      </c>
      <c r="I163" s="4">
        <f t="shared" si="7"/>
        <v>0</v>
      </c>
      <c r="J163" s="31">
        <f>RDG!I45</f>
        <v>160</v>
      </c>
      <c r="K163" s="31">
        <f>RDG!J45</f>
        <v>4861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597983.1000000001</v>
      </c>
      <c r="I166" s="4">
        <f t="shared" si="7"/>
        <v>0</v>
      </c>
      <c r="J166" s="31">
        <f>RDG!I48</f>
        <v>187946</v>
      </c>
      <c r="K166" s="31">
        <f>RDG!J48</f>
        <v>87234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607195.6799999999</v>
      </c>
      <c r="I169" s="4">
        <f t="shared" si="7"/>
        <v>0</v>
      </c>
      <c r="J169" s="31">
        <f>RDG!I51</f>
        <v>187946</v>
      </c>
      <c r="K169" s="31">
        <f>RDG!J51</f>
        <v>86740</v>
      </c>
    </row>
    <row r="170" spans="4:11" ht="12.75">
      <c r="D170" s="4" t="s">
        <v>541</v>
      </c>
      <c r="E170" s="4">
        <v>2</v>
      </c>
      <c r="F170" s="4">
        <f>RDG!G52</f>
        <v>169</v>
      </c>
      <c r="G170" s="4">
        <f>IF(RDG!H52=0,"",RDG!H52)</f>
      </c>
      <c r="H170" s="30">
        <f t="shared" si="6"/>
        <v>1669.72</v>
      </c>
      <c r="I170" s="4">
        <f t="shared" si="7"/>
        <v>0</v>
      </c>
      <c r="J170" s="31">
        <f>RDG!I52</f>
        <v>0</v>
      </c>
      <c r="K170" s="31">
        <f>RDG!J52</f>
        <v>494</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38937734.4</v>
      </c>
      <c r="I178" s="4">
        <f t="shared" si="7"/>
        <v>0</v>
      </c>
      <c r="J178" s="31">
        <f>RDG!I60</f>
        <v>5919822</v>
      </c>
      <c r="K178" s="31">
        <f>RDG!J60</f>
        <v>8039449</v>
      </c>
    </row>
    <row r="179" spans="4:11" ht="12.75">
      <c r="D179" s="4" t="s">
        <v>541</v>
      </c>
      <c r="E179" s="4">
        <v>2</v>
      </c>
      <c r="F179" s="4">
        <f>RDG!G61</f>
        <v>178</v>
      </c>
      <c r="G179" s="4">
        <f>IF(RDG!H61=0,"",RDG!H61)</f>
      </c>
      <c r="H179" s="30">
        <f t="shared" si="6"/>
        <v>148122171.34</v>
      </c>
      <c r="I179" s="4">
        <f t="shared" si="7"/>
        <v>0</v>
      </c>
      <c r="J179" s="31">
        <f>RDG!I61</f>
        <v>62668321</v>
      </c>
      <c r="K179" s="31">
        <f>RDG!J61</f>
        <v>10273191</v>
      </c>
    </row>
    <row r="180" spans="4:11" ht="12.75">
      <c r="D180" s="4" t="s">
        <v>541</v>
      </c>
      <c r="E180" s="4">
        <v>2</v>
      </c>
      <c r="F180" s="4">
        <f>RDG!G62</f>
        <v>179</v>
      </c>
      <c r="G180" s="4">
        <f>IF(RDG!H62=0,"",RDG!H62)</f>
      </c>
      <c r="H180" s="30">
        <f t="shared" si="6"/>
        <v>-109576609.57</v>
      </c>
      <c r="I180" s="4">
        <f t="shared" si="7"/>
        <v>0</v>
      </c>
      <c r="J180" s="31">
        <f>RDG!I62</f>
        <v>-56748499</v>
      </c>
      <c r="K180" s="31">
        <f>RDG!J62</f>
        <v>-2233742</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110800929.22999999</v>
      </c>
      <c r="I182" s="4">
        <f t="shared" si="7"/>
        <v>0</v>
      </c>
      <c r="J182" s="31">
        <f>RDG!I64</f>
        <v>56748499</v>
      </c>
      <c r="K182" s="31">
        <f>RDG!J64</f>
        <v>2233742</v>
      </c>
    </row>
    <row r="183" spans="4:11" ht="12.75">
      <c r="D183" s="4" t="s">
        <v>541</v>
      </c>
      <c r="E183" s="4">
        <v>2</v>
      </c>
      <c r="F183" s="4">
        <f>RDG!G65</f>
        <v>182</v>
      </c>
      <c r="G183" s="4">
        <f>IF(RDG!H65=0,"",RDG!H65)</f>
      </c>
      <c r="H183" s="30">
        <f t="shared" si="6"/>
        <v>9749920.18</v>
      </c>
      <c r="I183" s="4">
        <f t="shared" si="7"/>
        <v>0</v>
      </c>
      <c r="J183" s="31">
        <f>RDG!I65</f>
        <v>4036217</v>
      </c>
      <c r="K183" s="31">
        <f>RDG!J65</f>
        <v>660441</v>
      </c>
    </row>
    <row r="184" spans="4:11" ht="12.75">
      <c r="D184" s="4" t="s">
        <v>541</v>
      </c>
      <c r="E184" s="4">
        <v>2</v>
      </c>
      <c r="F184" s="4">
        <f>RDG!G66</f>
        <v>183</v>
      </c>
      <c r="G184" s="4">
        <f>IF(RDG!H66=0,"",RDG!H66)</f>
      </c>
      <c r="H184" s="30">
        <f t="shared" si="6"/>
        <v>-121828740.06</v>
      </c>
      <c r="I184" s="4">
        <f t="shared" si="7"/>
        <v>0</v>
      </c>
      <c r="J184" s="31">
        <f>RDG!I66</f>
        <v>-60784716</v>
      </c>
      <c r="K184" s="31">
        <f>RDG!J66</f>
        <v>-2894183</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123160201.70000002</v>
      </c>
      <c r="I186" s="4">
        <f t="shared" si="7"/>
        <v>0</v>
      </c>
      <c r="J186" s="31">
        <f>RDG!I68</f>
        <v>60784716</v>
      </c>
      <c r="K186" s="31">
        <f>RDG!J68</f>
        <v>2894183</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4328068.39</v>
      </c>
      <c r="I242" s="4">
        <f t="shared" si="11"/>
        <v>0</v>
      </c>
      <c r="J242" s="31">
        <f>Dodatni!I35</f>
        <v>1710793</v>
      </c>
      <c r="K242" s="31">
        <f>Dodatni!J35</f>
        <v>42543</v>
      </c>
    </row>
    <row r="243" spans="4:11" ht="12.75">
      <c r="D243" s="4" t="s">
        <v>1522</v>
      </c>
      <c r="E243" s="4">
        <v>3</v>
      </c>
      <c r="F243" s="4">
        <f>Dodatni!H37</f>
        <v>242</v>
      </c>
      <c r="H243" s="30">
        <f t="shared" si="10"/>
        <v>4346027.18</v>
      </c>
      <c r="I243" s="4">
        <f t="shared" si="11"/>
        <v>0</v>
      </c>
      <c r="J243" s="31">
        <f>Dodatni!I37</f>
        <v>1710793</v>
      </c>
      <c r="K243" s="31">
        <f>Dodatni!J37</f>
        <v>42543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43546.3</v>
      </c>
      <c r="I246" s="4">
        <f t="shared" si="11"/>
        <v>0</v>
      </c>
      <c r="J246" s="31">
        <f>Dodatni!I42</f>
        <v>0</v>
      </c>
      <c r="K246" s="31">
        <f>Dodatni!J42</f>
        <v>8887</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2966521.32</v>
      </c>
      <c r="I253" s="4">
        <f t="shared" si="11"/>
        <v>0</v>
      </c>
      <c r="J253" s="31">
        <f>Dodatni!I50</f>
        <v>456657</v>
      </c>
      <c r="K253" s="31">
        <f>Dodatni!J50</f>
        <v>360267</v>
      </c>
    </row>
    <row r="254" spans="4:11" ht="12.75">
      <c r="D254" s="4" t="s">
        <v>1522</v>
      </c>
      <c r="E254" s="4">
        <v>3</v>
      </c>
      <c r="F254" s="4">
        <f>Dodatni!H51</f>
        <v>253</v>
      </c>
      <c r="H254" s="30">
        <f t="shared" si="10"/>
        <v>1797840.77</v>
      </c>
      <c r="I254" s="4">
        <f t="shared" si="11"/>
        <v>0</v>
      </c>
      <c r="J254" s="31">
        <f>Dodatni!I51</f>
        <v>203059</v>
      </c>
      <c r="K254" s="31">
        <f>Dodatni!J51</f>
        <v>253775</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222152.42</v>
      </c>
      <c r="I263" s="4">
        <f t="shared" si="11"/>
        <v>0</v>
      </c>
      <c r="J263" s="31">
        <f>Dodatni!I60</f>
        <v>4233</v>
      </c>
      <c r="K263" s="31">
        <f>Dodatni!J60</f>
        <v>40279</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4466935.34</v>
      </c>
      <c r="I267" s="4">
        <f t="shared" si="11"/>
        <v>0</v>
      </c>
      <c r="J267" s="31">
        <f>Dodatni!I64</f>
        <v>635061</v>
      </c>
      <c r="K267" s="31">
        <f>Dodatni!J64</f>
        <v>522119</v>
      </c>
    </row>
    <row r="268" spans="4:11" ht="12.75">
      <c r="D268" s="4" t="s">
        <v>1522</v>
      </c>
      <c r="E268" s="4">
        <v>3</v>
      </c>
      <c r="F268" s="4">
        <f>Dodatni!H65</f>
        <v>267</v>
      </c>
      <c r="H268" s="30">
        <f t="shared" si="10"/>
        <v>340227.42</v>
      </c>
      <c r="I268" s="4">
        <f t="shared" si="11"/>
        <v>0</v>
      </c>
      <c r="J268" s="31">
        <f>Dodatni!I65</f>
        <v>29698</v>
      </c>
      <c r="K268" s="31">
        <f>Dodatni!J65</f>
        <v>48864</v>
      </c>
    </row>
    <row r="269" spans="4:11" ht="12.75">
      <c r="D269" s="4" t="s">
        <v>1522</v>
      </c>
      <c r="E269" s="4">
        <v>3</v>
      </c>
      <c r="F269" s="4">
        <f>Dodatni!H66</f>
        <v>268</v>
      </c>
      <c r="H269" s="30">
        <f t="shared" si="10"/>
        <v>141589.76</v>
      </c>
      <c r="I269" s="4">
        <f t="shared" si="11"/>
        <v>0</v>
      </c>
      <c r="J269" s="31">
        <f>Dodatni!I66</f>
        <v>0</v>
      </c>
      <c r="K269" s="31">
        <f>Dodatni!J66</f>
        <v>26416</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2212774.68</v>
      </c>
      <c r="I275" s="4">
        <f aca="true" t="shared" si="13" ref="I275:I284">ABS(ROUND(J275,0)-J275)+ABS(ROUND(K275,0)-K275)</f>
        <v>0</v>
      </c>
      <c r="J275" s="31">
        <f>Dodatni!I73</f>
        <v>780150</v>
      </c>
      <c r="K275" s="31">
        <f>Dodatni!J73</f>
        <v>13716</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1001150.02</v>
      </c>
      <c r="I278" s="4">
        <f t="shared" si="13"/>
        <v>0</v>
      </c>
      <c r="J278" s="31">
        <f>Dodatni!I76</f>
        <v>187946</v>
      </c>
      <c r="K278" s="31">
        <f>Dodatni!J76</f>
        <v>86740</v>
      </c>
    </row>
    <row r="279" spans="4:11" ht="12.75">
      <c r="D279" s="4" t="s">
        <v>1522</v>
      </c>
      <c r="E279" s="4">
        <v>3</v>
      </c>
      <c r="F279" s="4">
        <f>Dodatni!H78</f>
        <v>278</v>
      </c>
      <c r="H279" s="30">
        <f t="shared" si="12"/>
        <v>70272.84</v>
      </c>
      <c r="I279" s="4">
        <f t="shared" si="13"/>
        <v>0</v>
      </c>
      <c r="J279" s="31">
        <f>Dodatni!I78</f>
        <v>0</v>
      </c>
      <c r="K279" s="31">
        <f>Dodatni!J78</f>
        <v>12639</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71031.18000000001</v>
      </c>
      <c r="I282" s="4">
        <f t="shared" si="13"/>
        <v>0</v>
      </c>
      <c r="J282" s="31">
        <f>Dodatni!I81</f>
        <v>0</v>
      </c>
      <c r="K282" s="31">
        <f>Dodatni!J81</f>
        <v>12639</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t="str">
        <f>IF(NT_I!H9&lt;&gt;"",NT_I!H9,"")</f>
        <v>0</v>
      </c>
      <c r="H289" s="30">
        <f t="shared" si="14"/>
        <v>0</v>
      </c>
      <c r="I289" s="4">
        <f t="shared" si="15"/>
        <v>0</v>
      </c>
      <c r="J289" s="31">
        <f>NT_I!I9</f>
        <v>0</v>
      </c>
      <c r="K289" s="31">
        <f>NT_I!J9</f>
        <v>0</v>
      </c>
    </row>
    <row r="290" spans="4:11" ht="12.75">
      <c r="D290" s="4" t="s">
        <v>1523</v>
      </c>
      <c r="E290" s="4">
        <v>4</v>
      </c>
      <c r="F290" s="4">
        <f>NT_I!G10</f>
        <v>2</v>
      </c>
      <c r="G290" s="4" t="str">
        <f>IF(NT_I!H10&lt;&gt;"",NT_I!H10,"")</f>
        <v>0</v>
      </c>
      <c r="H290" s="30">
        <f t="shared" si="14"/>
        <v>0</v>
      </c>
      <c r="I290" s="4">
        <f t="shared" si="15"/>
        <v>0</v>
      </c>
      <c r="J290" s="31">
        <f>NT_I!I10</f>
        <v>0</v>
      </c>
      <c r="K290" s="31">
        <f>NT_I!J10</f>
        <v>0</v>
      </c>
    </row>
    <row r="291" spans="4:11" ht="12.75">
      <c r="D291" s="4" t="s">
        <v>1523</v>
      </c>
      <c r="E291" s="4">
        <v>4</v>
      </c>
      <c r="F291" s="4">
        <f>NT_I!G11</f>
        <v>3</v>
      </c>
      <c r="G291" s="4" t="str">
        <f>IF(NT_I!H11&lt;&gt;"",NT_I!H11,"")</f>
        <v>0</v>
      </c>
      <c r="H291" s="30">
        <f t="shared" si="14"/>
        <v>0</v>
      </c>
      <c r="I291" s="4">
        <f t="shared" si="15"/>
        <v>0</v>
      </c>
      <c r="J291" s="31">
        <f>NT_I!I11</f>
        <v>0</v>
      </c>
      <c r="K291" s="31">
        <f>NT_I!J11</f>
        <v>0</v>
      </c>
    </row>
    <row r="292" spans="4:11" ht="12.75">
      <c r="D292" s="4" t="s">
        <v>1523</v>
      </c>
      <c r="E292" s="4">
        <v>4</v>
      </c>
      <c r="F292" s="4">
        <f>NT_I!G12</f>
        <v>4</v>
      </c>
      <c r="G292" s="4" t="str">
        <f>IF(NT_I!H12&lt;&gt;"",NT_I!H12,"")</f>
        <v>0</v>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t="str">
        <f>IF(NT_I!H13&lt;&gt;"",NT_I!H13,"")</f>
        <v>0</v>
      </c>
      <c r="H293" s="30">
        <f t="shared" si="16"/>
        <v>0</v>
      </c>
      <c r="I293" s="4">
        <f t="shared" si="17"/>
        <v>0</v>
      </c>
      <c r="J293" s="31">
        <f>NT_I!I13</f>
        <v>0</v>
      </c>
      <c r="K293" s="31">
        <f>NT_I!J13</f>
        <v>0</v>
      </c>
    </row>
    <row r="294" spans="4:11" ht="12.75">
      <c r="D294" s="4" t="s">
        <v>1523</v>
      </c>
      <c r="E294" s="4">
        <v>4</v>
      </c>
      <c r="F294" s="4">
        <f>NT_I!G14</f>
        <v>6</v>
      </c>
      <c r="G294" s="4" t="str">
        <f>IF(NT_I!H14&lt;&gt;"",NT_I!H14,"")</f>
        <v>0</v>
      </c>
      <c r="H294" s="30">
        <f t="shared" si="16"/>
        <v>0</v>
      </c>
      <c r="I294" s="4">
        <f t="shared" si="17"/>
        <v>0</v>
      </c>
      <c r="J294" s="31">
        <f>NT_I!I14</f>
        <v>0</v>
      </c>
      <c r="K294" s="31">
        <f>NT_I!J14</f>
        <v>0</v>
      </c>
    </row>
    <row r="295" spans="4:11" ht="12.75">
      <c r="D295" s="4" t="s">
        <v>1523</v>
      </c>
      <c r="E295" s="4">
        <v>4</v>
      </c>
      <c r="F295" s="4">
        <f>NT_I!G15</f>
        <v>7</v>
      </c>
      <c r="G295" s="4" t="str">
        <f>IF(NT_I!H15&lt;&gt;"",NT_I!H15,"")</f>
        <v>0</v>
      </c>
      <c r="H295" s="30">
        <f t="shared" si="16"/>
        <v>0</v>
      </c>
      <c r="I295" s="4">
        <f t="shared" si="17"/>
        <v>0</v>
      </c>
      <c r="J295" s="31">
        <f>NT_I!I15</f>
        <v>0</v>
      </c>
      <c r="K295" s="31">
        <f>NT_I!J15</f>
        <v>0</v>
      </c>
    </row>
    <row r="296" spans="4:11" ht="12.75">
      <c r="D296" s="4" t="s">
        <v>1523</v>
      </c>
      <c r="E296" s="4">
        <v>4</v>
      </c>
      <c r="F296" s="4">
        <f>NT_I!G16</f>
        <v>8</v>
      </c>
      <c r="G296" s="4" t="str">
        <f>IF(NT_I!H16&lt;&gt;"",NT_I!H16,"")</f>
        <v>0</v>
      </c>
      <c r="H296" s="30">
        <f t="shared" si="16"/>
        <v>0</v>
      </c>
      <c r="I296" s="4">
        <f t="shared" si="17"/>
        <v>0</v>
      </c>
      <c r="J296" s="31">
        <f>NT_I!I16</f>
        <v>0</v>
      </c>
      <c r="K296" s="31">
        <f>NT_I!J16</f>
        <v>0</v>
      </c>
    </row>
    <row r="297" spans="4:11" ht="12.75">
      <c r="D297" s="4" t="s">
        <v>1523</v>
      </c>
      <c r="E297" s="4">
        <v>4</v>
      </c>
      <c r="F297" s="4">
        <f>NT_I!G17</f>
        <v>9</v>
      </c>
      <c r="G297" s="4" t="str">
        <f>IF(NT_I!H17&lt;&gt;"",NT_I!H17,"")</f>
        <v>0</v>
      </c>
      <c r="H297" s="30">
        <f t="shared" si="16"/>
        <v>0</v>
      </c>
      <c r="I297" s="4">
        <f t="shared" si="17"/>
        <v>0</v>
      </c>
      <c r="J297" s="31">
        <f>NT_I!I17</f>
        <v>0</v>
      </c>
      <c r="K297" s="31">
        <f>NT_I!J17</f>
        <v>0</v>
      </c>
    </row>
    <row r="298" spans="4:11" ht="12.75">
      <c r="D298" s="4" t="s">
        <v>1523</v>
      </c>
      <c r="E298" s="4">
        <v>4</v>
      </c>
      <c r="F298" s="4">
        <f>NT_I!G18</f>
        <v>10</v>
      </c>
      <c r="G298" s="4" t="str">
        <f>IF(NT_I!H18&lt;&gt;"",NT_I!H18,"")</f>
        <v>0</v>
      </c>
      <c r="H298" s="30">
        <f t="shared" si="16"/>
        <v>0</v>
      </c>
      <c r="I298" s="4">
        <f t="shared" si="17"/>
        <v>0</v>
      </c>
      <c r="J298" s="31">
        <f>NT_I!I18</f>
        <v>0</v>
      </c>
      <c r="K298" s="31">
        <f>NT_I!J18</f>
        <v>0</v>
      </c>
    </row>
    <row r="299" spans="4:11" ht="12.75">
      <c r="D299" s="4" t="s">
        <v>1523</v>
      </c>
      <c r="E299" s="4">
        <v>4</v>
      </c>
      <c r="F299" s="4">
        <f>NT_I!G19</f>
        <v>11</v>
      </c>
      <c r="G299" s="4" t="str">
        <f>IF(NT_I!H19&lt;&gt;"",NT_I!H19,"")</f>
        <v>0</v>
      </c>
      <c r="H299" s="30">
        <f t="shared" si="16"/>
        <v>0</v>
      </c>
      <c r="I299" s="4">
        <f t="shared" si="17"/>
        <v>0</v>
      </c>
      <c r="J299" s="31">
        <f>NT_I!I19</f>
        <v>0</v>
      </c>
      <c r="K299" s="31">
        <f>NT_I!J19</f>
        <v>0</v>
      </c>
    </row>
    <row r="300" spans="4:11" ht="12.75">
      <c r="D300" s="4" t="s">
        <v>1523</v>
      </c>
      <c r="E300" s="4">
        <v>4</v>
      </c>
      <c r="F300" s="4">
        <f>NT_I!G20</f>
        <v>12</v>
      </c>
      <c r="G300" s="4" t="str">
        <f>IF(NT_I!H20&lt;&gt;"",NT_I!H20,"")</f>
        <v>0</v>
      </c>
      <c r="H300" s="30">
        <f t="shared" si="16"/>
        <v>0</v>
      </c>
      <c r="I300" s="4">
        <f t="shared" si="17"/>
        <v>0</v>
      </c>
      <c r="J300" s="31">
        <f>NT_I!I20</f>
        <v>0</v>
      </c>
      <c r="K300" s="31">
        <f>NT_I!J20</f>
        <v>0</v>
      </c>
    </row>
    <row r="301" spans="4:11" ht="12.75">
      <c r="D301" s="4" t="s">
        <v>1523</v>
      </c>
      <c r="E301" s="4">
        <v>4</v>
      </c>
      <c r="F301" s="4">
        <f>NT_I!G21</f>
        <v>13</v>
      </c>
      <c r="G301" s="4" t="str">
        <f>IF(NT_I!H21&lt;&gt;"",NT_I!H21,"")</f>
        <v>0</v>
      </c>
      <c r="H301" s="30">
        <f t="shared" si="16"/>
        <v>0</v>
      </c>
      <c r="I301" s="4">
        <f t="shared" si="17"/>
        <v>0</v>
      </c>
      <c r="J301" s="31">
        <f>NT_I!I21</f>
        <v>0</v>
      </c>
      <c r="K301" s="31">
        <f>NT_I!J21</f>
        <v>0</v>
      </c>
    </row>
    <row r="302" spans="4:11" ht="12.75">
      <c r="D302" s="4" t="s">
        <v>1523</v>
      </c>
      <c r="E302" s="4">
        <v>4</v>
      </c>
      <c r="F302" s="4">
        <f>NT_I!G22</f>
        <v>14</v>
      </c>
      <c r="G302" s="4" t="str">
        <f>IF(NT_I!H22&lt;&gt;"",NT_I!H22,"")</f>
        <v>0</v>
      </c>
      <c r="H302" s="30">
        <f t="shared" si="16"/>
        <v>0</v>
      </c>
      <c r="I302" s="4">
        <f t="shared" si="17"/>
        <v>0</v>
      </c>
      <c r="J302" s="31">
        <f>NT_I!I22</f>
        <v>0</v>
      </c>
      <c r="K302" s="31">
        <f>NT_I!J22</f>
        <v>0</v>
      </c>
    </row>
    <row r="303" spans="4:11" ht="12.75">
      <c r="D303" s="4" t="s">
        <v>1523</v>
      </c>
      <c r="E303" s="4">
        <v>4</v>
      </c>
      <c r="F303" s="4">
        <f>NT_I!G23</f>
        <v>15</v>
      </c>
      <c r="G303" s="4" t="str">
        <f>IF(NT_I!H23&lt;&gt;"",NT_I!H23,"")</f>
        <v>0</v>
      </c>
      <c r="H303" s="30">
        <f t="shared" si="16"/>
        <v>0</v>
      </c>
      <c r="I303" s="4">
        <f t="shared" si="17"/>
        <v>0</v>
      </c>
      <c r="J303" s="31">
        <f>NT_I!I23</f>
        <v>0</v>
      </c>
      <c r="K303" s="31">
        <f>NT_I!J23</f>
        <v>0</v>
      </c>
    </row>
    <row r="304" spans="4:11" ht="12.75">
      <c r="D304" s="4" t="s">
        <v>1523</v>
      </c>
      <c r="E304" s="4">
        <v>4</v>
      </c>
      <c r="F304" s="4">
        <f>NT_I!G24</f>
        <v>16</v>
      </c>
      <c r="G304" s="4" t="str">
        <f>IF(NT_I!H24&lt;&gt;"",NT_I!H24,"")</f>
        <v>0</v>
      </c>
      <c r="H304" s="30">
        <f t="shared" si="16"/>
        <v>0</v>
      </c>
      <c r="I304" s="4">
        <f t="shared" si="17"/>
        <v>0</v>
      </c>
      <c r="J304" s="31">
        <f>NT_I!I24</f>
        <v>0</v>
      </c>
      <c r="K304" s="31">
        <f>NT_I!J24</f>
        <v>0</v>
      </c>
    </row>
    <row r="305" spans="4:11" ht="12.75">
      <c r="D305" s="4" t="s">
        <v>1523</v>
      </c>
      <c r="E305" s="4">
        <v>4</v>
      </c>
      <c r="F305" s="4">
        <f>NT_I!G25</f>
        <v>17</v>
      </c>
      <c r="G305" s="4" t="str">
        <f>IF(NT_I!H25&lt;&gt;"",NT_I!H25,"")</f>
        <v>0</v>
      </c>
      <c r="H305" s="30">
        <f t="shared" si="16"/>
        <v>0</v>
      </c>
      <c r="I305" s="4">
        <f t="shared" si="17"/>
        <v>0</v>
      </c>
      <c r="J305" s="31">
        <f>NT_I!I25</f>
        <v>0</v>
      </c>
      <c r="K305" s="31">
        <f>NT_I!J25</f>
        <v>0</v>
      </c>
    </row>
    <row r="306" spans="4:11" ht="12.75">
      <c r="D306" s="4" t="s">
        <v>1523</v>
      </c>
      <c r="E306" s="4">
        <v>4</v>
      </c>
      <c r="F306" s="4">
        <f>NT_I!G26</f>
        <v>18</v>
      </c>
      <c r="G306" s="4" t="str">
        <f>IF(NT_I!H26&lt;&gt;"",NT_I!H26,"")</f>
        <v>0</v>
      </c>
      <c r="H306" s="30">
        <f t="shared" si="16"/>
        <v>0</v>
      </c>
      <c r="I306" s="4">
        <f t="shared" si="17"/>
        <v>0</v>
      </c>
      <c r="J306" s="31">
        <f>NT_I!I26</f>
        <v>0</v>
      </c>
      <c r="K306" s="31">
        <f>NT_I!J26</f>
        <v>0</v>
      </c>
    </row>
    <row r="307" spans="4:11" ht="12.75">
      <c r="D307" s="4" t="s">
        <v>1523</v>
      </c>
      <c r="E307" s="4">
        <v>4</v>
      </c>
      <c r="F307" s="4">
        <f>NT_I!G27</f>
        <v>19</v>
      </c>
      <c r="G307" s="4" t="str">
        <f>IF(NT_I!H27&lt;&gt;"",NT_I!H27,"")</f>
        <v>0</v>
      </c>
      <c r="H307" s="30">
        <f t="shared" si="16"/>
        <v>0</v>
      </c>
      <c r="I307" s="4">
        <f t="shared" si="17"/>
        <v>0</v>
      </c>
      <c r="J307" s="31">
        <f>NT_I!I27</f>
        <v>0</v>
      </c>
      <c r="K307" s="31">
        <f>NT_I!J27</f>
        <v>0</v>
      </c>
    </row>
    <row r="308" spans="4:11" ht="12.75">
      <c r="D308" s="4" t="s">
        <v>1523</v>
      </c>
      <c r="E308" s="4">
        <v>4</v>
      </c>
      <c r="F308" s="4">
        <f>NT_I!G28</f>
        <v>20</v>
      </c>
      <c r="G308" s="4" t="str">
        <f>IF(NT_I!H28&lt;&gt;"",NT_I!H28,"")</f>
        <v>0</v>
      </c>
      <c r="H308" s="30">
        <f t="shared" si="16"/>
        <v>0</v>
      </c>
      <c r="I308" s="4">
        <f t="shared" si="17"/>
        <v>0</v>
      </c>
      <c r="J308" s="31">
        <f>NT_I!I28</f>
        <v>0</v>
      </c>
      <c r="K308" s="31">
        <f>NT_I!J28</f>
        <v>0</v>
      </c>
    </row>
    <row r="309" spans="4:11" ht="12.75">
      <c r="D309" s="4" t="s">
        <v>1523</v>
      </c>
      <c r="E309" s="4">
        <v>4</v>
      </c>
      <c r="F309" s="4">
        <f>NT_I!G30</f>
        <v>21</v>
      </c>
      <c r="G309" s="4" t="str">
        <f>IF(NT_I!H30&lt;&gt;"",NT_I!H30,"")</f>
        <v>0</v>
      </c>
      <c r="H309" s="30">
        <f t="shared" si="16"/>
        <v>0</v>
      </c>
      <c r="I309" s="4">
        <f t="shared" si="17"/>
        <v>0</v>
      </c>
      <c r="J309" s="31">
        <f>NT_I!I30</f>
        <v>0</v>
      </c>
      <c r="K309" s="31">
        <f>NT_I!J30</f>
        <v>0</v>
      </c>
    </row>
    <row r="310" spans="4:11" ht="12.75">
      <c r="D310" s="4" t="s">
        <v>1523</v>
      </c>
      <c r="E310" s="4">
        <v>4</v>
      </c>
      <c r="F310" s="4">
        <f>NT_I!G31</f>
        <v>22</v>
      </c>
      <c r="G310" s="4" t="str">
        <f>IF(NT_I!H31&lt;&gt;"",NT_I!H31,"")</f>
        <v>0</v>
      </c>
      <c r="H310" s="30">
        <f t="shared" si="16"/>
        <v>0</v>
      </c>
      <c r="I310" s="4">
        <f t="shared" si="17"/>
        <v>0</v>
      </c>
      <c r="J310" s="31">
        <f>NT_I!I31</f>
        <v>0</v>
      </c>
      <c r="K310" s="31">
        <f>NT_I!J31</f>
        <v>0</v>
      </c>
    </row>
    <row r="311" spans="4:11" ht="12.75">
      <c r="D311" s="4" t="s">
        <v>1523</v>
      </c>
      <c r="E311" s="4">
        <v>4</v>
      </c>
      <c r="F311" s="4">
        <f>NT_I!G32</f>
        <v>23</v>
      </c>
      <c r="G311" s="4" t="str">
        <f>IF(NT_I!H32&lt;&gt;"",NT_I!H32,"")</f>
        <v>0</v>
      </c>
      <c r="H311" s="30">
        <f t="shared" si="16"/>
        <v>0</v>
      </c>
      <c r="I311" s="4">
        <f t="shared" si="17"/>
        <v>0</v>
      </c>
      <c r="J311" s="31">
        <f>NT_I!I32</f>
        <v>0</v>
      </c>
      <c r="K311" s="31">
        <f>NT_I!J32</f>
        <v>0</v>
      </c>
    </row>
    <row r="312" spans="4:11" ht="12.75">
      <c r="D312" s="4" t="s">
        <v>1523</v>
      </c>
      <c r="E312" s="4">
        <v>4</v>
      </c>
      <c r="F312" s="4">
        <f>NT_I!G33</f>
        <v>24</v>
      </c>
      <c r="G312" s="4" t="str">
        <f>IF(NT_I!H33&lt;&gt;"",NT_I!H33,"")</f>
        <v>0</v>
      </c>
      <c r="H312" s="30">
        <f t="shared" si="16"/>
        <v>0</v>
      </c>
      <c r="I312" s="4">
        <f t="shared" si="17"/>
        <v>0</v>
      </c>
      <c r="J312" s="31">
        <f>NT_I!I33</f>
        <v>0</v>
      </c>
      <c r="K312" s="31">
        <f>NT_I!J33</f>
        <v>0</v>
      </c>
    </row>
    <row r="313" spans="4:11" ht="12.75">
      <c r="D313" s="4" t="s">
        <v>1523</v>
      </c>
      <c r="E313" s="4">
        <v>4</v>
      </c>
      <c r="F313" s="4">
        <f>NT_I!G34</f>
        <v>25</v>
      </c>
      <c r="G313" s="4" t="str">
        <f>IF(NT_I!H34&lt;&gt;"",NT_I!H34,"")</f>
        <v>0</v>
      </c>
      <c r="H313" s="30">
        <f t="shared" si="16"/>
        <v>0</v>
      </c>
      <c r="I313" s="4">
        <f t="shared" si="17"/>
        <v>0</v>
      </c>
      <c r="J313" s="31">
        <f>NT_I!I34</f>
        <v>0</v>
      </c>
      <c r="K313" s="31">
        <f>NT_I!J34</f>
        <v>0</v>
      </c>
    </row>
    <row r="314" spans="4:11" ht="12.75">
      <c r="D314" s="4" t="s">
        <v>1523</v>
      </c>
      <c r="E314" s="4">
        <v>4</v>
      </c>
      <c r="F314" s="4">
        <f>NT_I!G35</f>
        <v>26</v>
      </c>
      <c r="G314" s="4" t="str">
        <f>IF(NT_I!H35&lt;&gt;"",NT_I!H35,"")</f>
        <v>0</v>
      </c>
      <c r="H314" s="30">
        <f t="shared" si="16"/>
        <v>0</v>
      </c>
      <c r="I314" s="4">
        <f t="shared" si="17"/>
        <v>0</v>
      </c>
      <c r="J314" s="31">
        <f>NT_I!I35</f>
        <v>0</v>
      </c>
      <c r="K314" s="31">
        <f>NT_I!J35</f>
        <v>0</v>
      </c>
    </row>
    <row r="315" spans="4:11" ht="12.75">
      <c r="D315" s="4" t="s">
        <v>1523</v>
      </c>
      <c r="E315" s="4">
        <v>4</v>
      </c>
      <c r="F315" s="4">
        <f>NT_I!G36</f>
        <v>27</v>
      </c>
      <c r="G315" s="4" t="str">
        <f>IF(NT_I!H36&lt;&gt;"",NT_I!H36,"")</f>
        <v>0</v>
      </c>
      <c r="H315" s="30">
        <f t="shared" si="16"/>
        <v>0</v>
      </c>
      <c r="I315" s="4">
        <f t="shared" si="17"/>
        <v>0</v>
      </c>
      <c r="J315" s="31">
        <f>NT_I!I36</f>
        <v>0</v>
      </c>
      <c r="K315" s="31">
        <f>NT_I!J36</f>
        <v>0</v>
      </c>
    </row>
    <row r="316" spans="4:11" ht="12.75">
      <c r="D316" s="4" t="s">
        <v>1523</v>
      </c>
      <c r="E316" s="4">
        <v>4</v>
      </c>
      <c r="F316" s="4">
        <f>NT_I!G37</f>
        <v>28</v>
      </c>
      <c r="G316" s="4" t="str">
        <f>IF(NT_I!H37&lt;&gt;"",NT_I!H37,"")</f>
        <v>0</v>
      </c>
      <c r="H316" s="30">
        <f t="shared" si="16"/>
        <v>0</v>
      </c>
      <c r="I316" s="4">
        <f t="shared" si="17"/>
        <v>0</v>
      </c>
      <c r="J316" s="31">
        <f>NT_I!I37</f>
        <v>0</v>
      </c>
      <c r="K316" s="31">
        <f>NT_I!J37</f>
        <v>0</v>
      </c>
    </row>
    <row r="317" spans="4:11" ht="12.75">
      <c r="D317" s="4" t="s">
        <v>1523</v>
      </c>
      <c r="E317" s="4">
        <v>4</v>
      </c>
      <c r="F317" s="4">
        <f>NT_I!G38</f>
        <v>29</v>
      </c>
      <c r="G317" s="4" t="str">
        <f>IF(NT_I!H38&lt;&gt;"",NT_I!H38,"")</f>
        <v>0</v>
      </c>
      <c r="H317" s="30">
        <f t="shared" si="16"/>
        <v>0</v>
      </c>
      <c r="I317" s="4">
        <f t="shared" si="17"/>
        <v>0</v>
      </c>
      <c r="J317" s="31">
        <f>NT_I!I38</f>
        <v>0</v>
      </c>
      <c r="K317" s="31">
        <f>NT_I!J38</f>
        <v>0</v>
      </c>
    </row>
    <row r="318" spans="4:11" ht="12.75">
      <c r="D318" s="4" t="s">
        <v>1523</v>
      </c>
      <c r="E318" s="4">
        <v>4</v>
      </c>
      <c r="F318" s="4">
        <f>NT_I!G39</f>
        <v>30</v>
      </c>
      <c r="G318" s="4" t="str">
        <f>IF(NT_I!H39&lt;&gt;"",NT_I!H39,"")</f>
        <v>0</v>
      </c>
      <c r="H318" s="30">
        <f t="shared" si="16"/>
        <v>0</v>
      </c>
      <c r="I318" s="4">
        <f t="shared" si="17"/>
        <v>0</v>
      </c>
      <c r="J318" s="31">
        <f>NT_I!I39</f>
        <v>0</v>
      </c>
      <c r="K318" s="31">
        <f>NT_I!J39</f>
        <v>0</v>
      </c>
    </row>
    <row r="319" spans="4:11" ht="12.75">
      <c r="D319" s="4" t="s">
        <v>1523</v>
      </c>
      <c r="E319" s="4">
        <v>4</v>
      </c>
      <c r="F319" s="4">
        <f>NT_I!G40</f>
        <v>31</v>
      </c>
      <c r="G319" s="4" t="str">
        <f>IF(NT_I!H40&lt;&gt;"",NT_I!H40,"")</f>
        <v>0</v>
      </c>
      <c r="H319" s="30">
        <f t="shared" si="16"/>
        <v>0</v>
      </c>
      <c r="I319" s="4">
        <f t="shared" si="17"/>
        <v>0</v>
      </c>
      <c r="J319" s="31">
        <f>NT_I!I40</f>
        <v>0</v>
      </c>
      <c r="K319" s="31">
        <f>NT_I!J40</f>
        <v>0</v>
      </c>
    </row>
    <row r="320" spans="4:11" ht="12.75">
      <c r="D320" s="4" t="s">
        <v>1523</v>
      </c>
      <c r="E320" s="4">
        <v>4</v>
      </c>
      <c r="F320" s="4">
        <f>NT_I!G41</f>
        <v>32</v>
      </c>
      <c r="G320" s="4" t="str">
        <f>IF(NT_I!H41&lt;&gt;"",NT_I!H41,"")</f>
        <v>0</v>
      </c>
      <c r="H320" s="30">
        <f t="shared" si="16"/>
        <v>0</v>
      </c>
      <c r="I320" s="4">
        <f t="shared" si="17"/>
        <v>0</v>
      </c>
      <c r="J320" s="31">
        <f>NT_I!I41</f>
        <v>0</v>
      </c>
      <c r="K320" s="31">
        <f>NT_I!J41</f>
        <v>0</v>
      </c>
    </row>
    <row r="321" spans="4:11" ht="12.75">
      <c r="D321" s="4" t="s">
        <v>1523</v>
      </c>
      <c r="E321" s="4">
        <v>4</v>
      </c>
      <c r="F321" s="4">
        <f>NT_I!G42</f>
        <v>33</v>
      </c>
      <c r="G321" s="4" t="str">
        <f>IF(NT_I!H42&lt;&gt;"",NT_I!H42,"")</f>
        <v>0</v>
      </c>
      <c r="H321" s="30">
        <f t="shared" si="16"/>
        <v>0</v>
      </c>
      <c r="I321" s="4">
        <f t="shared" si="17"/>
        <v>0</v>
      </c>
      <c r="J321" s="31">
        <f>NT_I!I42</f>
        <v>0</v>
      </c>
      <c r="K321" s="31">
        <f>NT_I!J42</f>
        <v>0</v>
      </c>
    </row>
    <row r="322" spans="4:11" ht="12.75">
      <c r="D322" s="4" t="s">
        <v>1523</v>
      </c>
      <c r="E322" s="4">
        <v>4</v>
      </c>
      <c r="F322" s="4">
        <f>NT_I!G43</f>
        <v>34</v>
      </c>
      <c r="G322" s="4" t="str">
        <f>IF(NT_I!H43&lt;&gt;"",NT_I!H43,"")</f>
        <v>0</v>
      </c>
      <c r="H322" s="30">
        <f t="shared" si="16"/>
        <v>0</v>
      </c>
      <c r="I322" s="4">
        <f t="shared" si="17"/>
        <v>0</v>
      </c>
      <c r="J322" s="31">
        <f>NT_I!I43</f>
        <v>0</v>
      </c>
      <c r="K322" s="31">
        <f>NT_I!J43</f>
        <v>0</v>
      </c>
    </row>
    <row r="323" spans="4:11" ht="12.75">
      <c r="D323" s="4" t="s">
        <v>1523</v>
      </c>
      <c r="E323" s="4">
        <v>4</v>
      </c>
      <c r="F323" s="4">
        <f>NT_I!G45</f>
        <v>35</v>
      </c>
      <c r="G323" s="4" t="str">
        <f>IF(NT_I!H45&lt;&gt;"",NT_I!H45,"")</f>
        <v>0</v>
      </c>
      <c r="H323" s="30">
        <f t="shared" si="16"/>
        <v>0</v>
      </c>
      <c r="I323" s="4">
        <f t="shared" si="17"/>
        <v>0</v>
      </c>
      <c r="J323" s="31">
        <f>NT_I!I45</f>
        <v>0</v>
      </c>
      <c r="K323" s="31">
        <f>NT_I!J45</f>
        <v>0</v>
      </c>
    </row>
    <row r="324" spans="4:11" ht="12.75">
      <c r="D324" s="4" t="s">
        <v>1523</v>
      </c>
      <c r="E324" s="4">
        <v>4</v>
      </c>
      <c r="F324" s="4">
        <f>NT_I!G46</f>
        <v>36</v>
      </c>
      <c r="G324" s="4" t="str">
        <f>IF(NT_I!H46&lt;&gt;"",NT_I!H46,"")</f>
        <v>0</v>
      </c>
      <c r="H324" s="30">
        <f t="shared" si="16"/>
        <v>0</v>
      </c>
      <c r="I324" s="4">
        <f t="shared" si="17"/>
        <v>0</v>
      </c>
      <c r="J324" s="31">
        <f>NT_I!I46</f>
        <v>0</v>
      </c>
      <c r="K324" s="31">
        <f>NT_I!J46</f>
        <v>0</v>
      </c>
    </row>
    <row r="325" spans="4:11" ht="12.75">
      <c r="D325" s="4" t="s">
        <v>1523</v>
      </c>
      <c r="E325" s="4">
        <v>4</v>
      </c>
      <c r="F325" s="4">
        <f>NT_I!G47</f>
        <v>37</v>
      </c>
      <c r="G325" s="4" t="str">
        <f>IF(NT_I!H47&lt;&gt;"",NT_I!H47,"")</f>
        <v>0</v>
      </c>
      <c r="H325" s="30">
        <f t="shared" si="16"/>
        <v>0</v>
      </c>
      <c r="I325" s="4">
        <f t="shared" si="17"/>
        <v>0</v>
      </c>
      <c r="J325" s="31">
        <f>NT_I!I47</f>
        <v>0</v>
      </c>
      <c r="K325" s="31">
        <f>NT_I!J47</f>
        <v>0</v>
      </c>
    </row>
    <row r="326" spans="4:11" ht="12.75">
      <c r="D326" s="4" t="s">
        <v>1523</v>
      </c>
      <c r="E326" s="4">
        <v>4</v>
      </c>
      <c r="F326" s="4">
        <f>NT_I!G48</f>
        <v>38</v>
      </c>
      <c r="G326" s="4" t="str">
        <f>IF(NT_I!H48&lt;&gt;"",NT_I!H48,"")</f>
        <v>0</v>
      </c>
      <c r="H326" s="30">
        <f t="shared" si="16"/>
        <v>0</v>
      </c>
      <c r="I326" s="4">
        <f t="shared" si="17"/>
        <v>0</v>
      </c>
      <c r="J326" s="31">
        <f>NT_I!I48</f>
        <v>0</v>
      </c>
      <c r="K326" s="31">
        <f>NT_I!J48</f>
        <v>0</v>
      </c>
    </row>
    <row r="327" spans="4:11" ht="12.75">
      <c r="D327" s="4" t="s">
        <v>1523</v>
      </c>
      <c r="E327" s="4">
        <v>4</v>
      </c>
      <c r="F327" s="4">
        <f>NT_I!G49</f>
        <v>39</v>
      </c>
      <c r="G327" s="4" t="str">
        <f>IF(NT_I!H49&lt;&gt;"",NT_I!H49,"")</f>
        <v>0</v>
      </c>
      <c r="H327" s="30">
        <f t="shared" si="16"/>
        <v>0</v>
      </c>
      <c r="I327" s="4">
        <f t="shared" si="17"/>
        <v>0</v>
      </c>
      <c r="J327" s="31">
        <f>NT_I!I49</f>
        <v>0</v>
      </c>
      <c r="K327" s="31">
        <f>NT_I!J49</f>
        <v>0</v>
      </c>
    </row>
    <row r="328" spans="4:11" ht="12.75">
      <c r="D328" s="4" t="s">
        <v>1523</v>
      </c>
      <c r="E328" s="4">
        <v>4</v>
      </c>
      <c r="F328" s="4">
        <f>NT_I!G50</f>
        <v>40</v>
      </c>
      <c r="G328" s="4" t="str">
        <f>IF(NT_I!H50&lt;&gt;"",NT_I!H50,"")</f>
        <v>0</v>
      </c>
      <c r="H328" s="30">
        <f t="shared" si="16"/>
        <v>0</v>
      </c>
      <c r="I328" s="4">
        <f t="shared" si="17"/>
        <v>0</v>
      </c>
      <c r="J328" s="31">
        <f>NT_I!I50</f>
        <v>0</v>
      </c>
      <c r="K328" s="31">
        <f>NT_I!J50</f>
        <v>0</v>
      </c>
    </row>
    <row r="329" spans="4:11" ht="12.75">
      <c r="D329" s="4" t="s">
        <v>1523</v>
      </c>
      <c r="E329" s="4">
        <v>4</v>
      </c>
      <c r="F329" s="4">
        <f>NT_I!G51</f>
        <v>41</v>
      </c>
      <c r="G329" s="4" t="str">
        <f>IF(NT_I!H51&lt;&gt;"",NT_I!H51,"")</f>
        <v>0</v>
      </c>
      <c r="H329" s="30">
        <f t="shared" si="16"/>
        <v>0</v>
      </c>
      <c r="I329" s="4">
        <f t="shared" si="17"/>
        <v>0</v>
      </c>
      <c r="J329" s="31">
        <f>NT_I!I51</f>
        <v>0</v>
      </c>
      <c r="K329" s="31">
        <f>NT_I!J51</f>
        <v>0</v>
      </c>
    </row>
    <row r="330" spans="4:11" ht="12.75">
      <c r="D330" s="4" t="s">
        <v>1523</v>
      </c>
      <c r="E330" s="4">
        <v>4</v>
      </c>
      <c r="F330" s="4">
        <f>NT_I!G52</f>
        <v>42</v>
      </c>
      <c r="G330" s="4" t="str">
        <f>IF(NT_I!H52&lt;&gt;"",NT_I!H52,"")</f>
        <v>0</v>
      </c>
      <c r="H330" s="30">
        <f t="shared" si="16"/>
        <v>0</v>
      </c>
      <c r="I330" s="4">
        <f t="shared" si="17"/>
        <v>0</v>
      </c>
      <c r="J330" s="31">
        <f>NT_I!I52</f>
        <v>0</v>
      </c>
      <c r="K330" s="31">
        <f>NT_I!J52</f>
        <v>0</v>
      </c>
    </row>
    <row r="331" spans="4:11" ht="12.75">
      <c r="D331" s="4" t="s">
        <v>1523</v>
      </c>
      <c r="E331" s="4">
        <v>4</v>
      </c>
      <c r="F331" s="4">
        <f>NT_I!G53</f>
        <v>43</v>
      </c>
      <c r="G331" s="4" t="str">
        <f>IF(NT_I!H53&lt;&gt;"",NT_I!H53,"")</f>
        <v>0</v>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t="str">
        <f>IF(NT_I!H54&lt;&gt;"",NT_I!H54,"")</f>
        <v>0</v>
      </c>
      <c r="H332" s="30">
        <f t="shared" si="18"/>
        <v>0</v>
      </c>
      <c r="I332" s="4">
        <f t="shared" si="19"/>
        <v>0</v>
      </c>
      <c r="J332" s="31">
        <f>NT_I!I54</f>
        <v>0</v>
      </c>
      <c r="K332" s="31">
        <f>NT_I!J54</f>
        <v>0</v>
      </c>
    </row>
    <row r="333" spans="4:11" ht="12.75">
      <c r="D333" s="4" t="s">
        <v>1523</v>
      </c>
      <c r="E333" s="4">
        <v>4</v>
      </c>
      <c r="F333" s="4">
        <f>NT_I!G55</f>
        <v>45</v>
      </c>
      <c r="G333" s="4" t="str">
        <f>IF(NT_I!H55&lt;&gt;"",NT_I!H55,"")</f>
        <v>0</v>
      </c>
      <c r="H333" s="30">
        <f t="shared" si="18"/>
        <v>0</v>
      </c>
      <c r="I333" s="4">
        <f t="shared" si="19"/>
        <v>0</v>
      </c>
      <c r="J333" s="31">
        <f>NT_I!I55</f>
        <v>0</v>
      </c>
      <c r="K333" s="31">
        <f>NT_I!J55</f>
        <v>0</v>
      </c>
    </row>
    <row r="334" spans="4:11" ht="12.75">
      <c r="D334" s="4" t="s">
        <v>1523</v>
      </c>
      <c r="E334" s="4">
        <v>4</v>
      </c>
      <c r="F334" s="4">
        <f>NT_I!G56</f>
        <v>46</v>
      </c>
      <c r="G334" s="4" t="str">
        <f>IF(NT_I!H56&lt;&gt;"",NT_I!H56,"")</f>
        <v>0</v>
      </c>
      <c r="H334" s="30">
        <f t="shared" si="18"/>
        <v>0</v>
      </c>
      <c r="I334" s="4">
        <f t="shared" si="19"/>
        <v>0</v>
      </c>
      <c r="J334" s="31">
        <f>NT_I!I56</f>
        <v>0</v>
      </c>
      <c r="K334" s="31">
        <f>NT_I!J56</f>
        <v>0</v>
      </c>
    </row>
    <row r="335" spans="4:11" ht="12.75">
      <c r="D335" s="4" t="s">
        <v>1523</v>
      </c>
      <c r="E335" s="4">
        <v>4</v>
      </c>
      <c r="F335" s="4">
        <f>NT_I!G57</f>
        <v>47</v>
      </c>
      <c r="G335" s="4" t="str">
        <f>IF(NT_I!H57&lt;&gt;"",NT_I!H57,"")</f>
        <v>0</v>
      </c>
      <c r="H335" s="30">
        <f t="shared" si="18"/>
        <v>0</v>
      </c>
      <c r="I335" s="4">
        <f t="shared" si="19"/>
        <v>0</v>
      </c>
      <c r="J335" s="31">
        <f>NT_I!I57</f>
        <v>0</v>
      </c>
      <c r="K335" s="31">
        <f>NT_I!J57</f>
        <v>0</v>
      </c>
    </row>
    <row r="336" spans="4:11" ht="12.75">
      <c r="D336" s="4" t="s">
        <v>1523</v>
      </c>
      <c r="E336" s="4">
        <v>4</v>
      </c>
      <c r="F336" s="4">
        <f>NT_I!G58</f>
        <v>48</v>
      </c>
      <c r="G336" s="4" t="str">
        <f>IF(NT_I!H58&lt;&gt;"",NT_I!H58,"")</f>
        <v>0</v>
      </c>
      <c r="H336" s="30">
        <f t="shared" si="18"/>
        <v>0</v>
      </c>
      <c r="I336" s="4">
        <f t="shared" si="19"/>
        <v>0</v>
      </c>
      <c r="J336" s="31">
        <f>NT_I!I58</f>
        <v>0</v>
      </c>
      <c r="K336" s="31">
        <f>NT_I!J58</f>
        <v>0</v>
      </c>
    </row>
    <row r="337" spans="4:11" ht="12.75">
      <c r="D337" s="4" t="s">
        <v>1523</v>
      </c>
      <c r="E337" s="4">
        <v>4</v>
      </c>
      <c r="F337" s="4">
        <f>NT_I!G59</f>
        <v>49</v>
      </c>
      <c r="G337" s="4" t="str">
        <f>IF(NT_I!H59&lt;&gt;"",NT_I!H59,"")</f>
        <v>0</v>
      </c>
      <c r="H337" s="30">
        <f t="shared" si="18"/>
        <v>0</v>
      </c>
      <c r="I337" s="4">
        <f t="shared" si="19"/>
        <v>0</v>
      </c>
      <c r="J337" s="31">
        <f>NT_I!I59</f>
        <v>0</v>
      </c>
      <c r="K337" s="31">
        <f>NT_I!J59</f>
        <v>0</v>
      </c>
    </row>
    <row r="338" spans="4:11" ht="12.75">
      <c r="D338" s="4" t="s">
        <v>1523</v>
      </c>
      <c r="E338" s="4">
        <v>4</v>
      </c>
      <c r="F338" s="4">
        <f>NT_I!G60</f>
        <v>50</v>
      </c>
      <c r="G338" s="4" t="str">
        <f>IF(NT_I!H60&lt;&gt;"",NT_I!H60,"")</f>
        <v>0</v>
      </c>
      <c r="H338" s="30">
        <f t="shared" si="18"/>
        <v>0</v>
      </c>
      <c r="I338" s="4">
        <f t="shared" si="19"/>
        <v>0</v>
      </c>
      <c r="J338" s="31">
        <f>NT_I!I60</f>
        <v>0</v>
      </c>
      <c r="K338" s="31">
        <f>NT_I!J60</f>
        <v>0</v>
      </c>
    </row>
    <row r="339" spans="4:11" ht="12.75">
      <c r="D339" s="4" t="s">
        <v>1524</v>
      </c>
      <c r="E339" s="4">
        <v>5</v>
      </c>
      <c r="F339" s="32">
        <f>NT_D!G9</f>
        <v>1</v>
      </c>
      <c r="G339" s="32" t="str">
        <f>IF(NT_D!H9&lt;&gt;"",NT_D!H9,"")</f>
        <v>0</v>
      </c>
      <c r="H339" s="30">
        <f>J339/100*F339+2*K339/100*F339</f>
        <v>0</v>
      </c>
      <c r="I339" s="4">
        <f>ABS(ROUND(J339,0)-J339)+ABS(ROUND(K339,0)-K339)</f>
        <v>0</v>
      </c>
      <c r="J339" s="31">
        <f>NT_D!I9</f>
        <v>0</v>
      </c>
      <c r="K339" s="31">
        <f>NT_D!J9</f>
        <v>0</v>
      </c>
    </row>
    <row r="340" spans="4:11" ht="12.75">
      <c r="D340" s="4" t="s">
        <v>1524</v>
      </c>
      <c r="E340" s="4">
        <v>5</v>
      </c>
      <c r="F340" s="32">
        <f>NT_D!G10</f>
        <v>2</v>
      </c>
      <c r="G340" s="32" t="str">
        <f>IF(NT_D!H10&lt;&gt;"",NT_D!H10,"")</f>
        <v>0</v>
      </c>
      <c r="H340" s="30">
        <f>J340/100*F340+2*K340/100*F340</f>
        <v>0</v>
      </c>
      <c r="I340" s="4">
        <f>ABS(ROUND(J340,0)-J340)+ABS(ROUND(K340,0)-K340)</f>
        <v>0</v>
      </c>
      <c r="J340" s="31">
        <f>NT_D!I10</f>
        <v>0</v>
      </c>
      <c r="K340" s="31">
        <f>NT_D!J10</f>
        <v>0</v>
      </c>
    </row>
    <row r="341" spans="4:11" ht="12.75">
      <c r="D341" s="4" t="s">
        <v>1524</v>
      </c>
      <c r="E341" s="4">
        <v>5</v>
      </c>
      <c r="F341" s="32">
        <f>NT_D!G11</f>
        <v>3</v>
      </c>
      <c r="G341" s="32" t="str">
        <f>IF(NT_D!H11&lt;&gt;"",NT_D!H11,"")</f>
        <v>0</v>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t="str">
        <f>IF(NT_D!H12&lt;&gt;"",NT_D!H12,"")</f>
        <v>0</v>
      </c>
      <c r="H342" s="30">
        <f t="shared" si="20"/>
        <v>0</v>
      </c>
      <c r="I342" s="4">
        <f t="shared" si="21"/>
        <v>0</v>
      </c>
      <c r="J342" s="31">
        <f>NT_D!I12</f>
        <v>0</v>
      </c>
      <c r="K342" s="31">
        <f>NT_D!J12</f>
        <v>0</v>
      </c>
    </row>
    <row r="343" spans="4:11" ht="12.75">
      <c r="D343" s="4" t="s">
        <v>1524</v>
      </c>
      <c r="E343" s="4">
        <v>5</v>
      </c>
      <c r="F343" s="32">
        <f>NT_D!G13</f>
        <v>5</v>
      </c>
      <c r="G343" s="32" t="str">
        <f>IF(NT_D!H13&lt;&gt;"",NT_D!H13,"")</f>
        <v>0</v>
      </c>
      <c r="H343" s="30">
        <f t="shared" si="20"/>
        <v>0</v>
      </c>
      <c r="I343" s="4">
        <f t="shared" si="21"/>
        <v>0</v>
      </c>
      <c r="J343" s="31">
        <f>NT_D!I13</f>
        <v>0</v>
      </c>
      <c r="K343" s="31">
        <f>NT_D!J13</f>
        <v>0</v>
      </c>
    </row>
    <row r="344" spans="4:11" ht="12.75">
      <c r="D344" s="4" t="s">
        <v>1524</v>
      </c>
      <c r="E344" s="4">
        <v>5</v>
      </c>
      <c r="F344" s="32">
        <f>NT_D!G14</f>
        <v>6</v>
      </c>
      <c r="G344" s="32" t="str">
        <f>IF(NT_D!H14&lt;&gt;"",NT_D!H14,"")</f>
        <v>0</v>
      </c>
      <c r="H344" s="30">
        <f t="shared" si="20"/>
        <v>0</v>
      </c>
      <c r="I344" s="4">
        <f t="shared" si="21"/>
        <v>0</v>
      </c>
      <c r="J344" s="31">
        <f>NT_D!I14</f>
        <v>0</v>
      </c>
      <c r="K344" s="31">
        <f>NT_D!J14</f>
        <v>0</v>
      </c>
    </row>
    <row r="345" spans="4:11" ht="12.75">
      <c r="D345" s="4" t="s">
        <v>1524</v>
      </c>
      <c r="E345" s="4">
        <v>5</v>
      </c>
      <c r="F345" s="32">
        <f>NT_D!G15</f>
        <v>7</v>
      </c>
      <c r="G345" s="32" t="str">
        <f>IF(NT_D!H15&lt;&gt;"",NT_D!H15,"")</f>
        <v>0</v>
      </c>
      <c r="H345" s="30">
        <f t="shared" si="20"/>
        <v>0</v>
      </c>
      <c r="I345" s="4">
        <f t="shared" si="21"/>
        <v>0</v>
      </c>
      <c r="J345" s="31">
        <f>NT_D!I15</f>
        <v>0</v>
      </c>
      <c r="K345" s="31">
        <f>NT_D!J15</f>
        <v>0</v>
      </c>
    </row>
    <row r="346" spans="4:11" ht="12.75">
      <c r="D346" s="4" t="s">
        <v>1524</v>
      </c>
      <c r="E346" s="4">
        <v>5</v>
      </c>
      <c r="F346" s="32">
        <f>NT_D!G16</f>
        <v>8</v>
      </c>
      <c r="G346" s="32" t="str">
        <f>IF(NT_D!H16&lt;&gt;"",NT_D!H16,"")</f>
        <v>0</v>
      </c>
      <c r="H346" s="30">
        <f t="shared" si="20"/>
        <v>0</v>
      </c>
      <c r="I346" s="4">
        <f t="shared" si="21"/>
        <v>0</v>
      </c>
      <c r="J346" s="31">
        <f>NT_D!I16</f>
        <v>0</v>
      </c>
      <c r="K346" s="31">
        <f>NT_D!J16</f>
        <v>0</v>
      </c>
    </row>
    <row r="347" spans="4:11" ht="12.75">
      <c r="D347" s="4" t="s">
        <v>1524</v>
      </c>
      <c r="E347" s="4">
        <v>5</v>
      </c>
      <c r="F347" s="32">
        <f>NT_D!G17</f>
        <v>9</v>
      </c>
      <c r="G347" s="32" t="str">
        <f>IF(NT_D!H17&lt;&gt;"",NT_D!H17,"")</f>
        <v>0</v>
      </c>
      <c r="H347" s="30">
        <f t="shared" si="20"/>
        <v>0</v>
      </c>
      <c r="I347" s="4">
        <f t="shared" si="21"/>
        <v>0</v>
      </c>
      <c r="J347" s="31">
        <f>NT_D!I17</f>
        <v>0</v>
      </c>
      <c r="K347" s="31">
        <f>NT_D!J17</f>
        <v>0</v>
      </c>
    </row>
    <row r="348" spans="4:11" ht="12.75">
      <c r="D348" s="4" t="s">
        <v>1524</v>
      </c>
      <c r="E348" s="4">
        <v>5</v>
      </c>
      <c r="F348" s="32">
        <f>NT_D!G18</f>
        <v>10</v>
      </c>
      <c r="G348" s="32" t="str">
        <f>IF(NT_D!H18&lt;&gt;"",NT_D!H18,"")</f>
        <v>0</v>
      </c>
      <c r="H348" s="30">
        <f t="shared" si="20"/>
        <v>0</v>
      </c>
      <c r="I348" s="4">
        <f t="shared" si="21"/>
        <v>0</v>
      </c>
      <c r="J348" s="31">
        <f>NT_D!I18</f>
        <v>0</v>
      </c>
      <c r="K348" s="31">
        <f>NT_D!J18</f>
        <v>0</v>
      </c>
    </row>
    <row r="349" spans="4:11" ht="12.75">
      <c r="D349" s="4" t="s">
        <v>1524</v>
      </c>
      <c r="E349" s="4">
        <v>5</v>
      </c>
      <c r="F349" s="32">
        <f>NT_D!G19</f>
        <v>11</v>
      </c>
      <c r="G349" s="32" t="str">
        <f>IF(NT_D!H19&lt;&gt;"",NT_D!H19,"")</f>
        <v>0</v>
      </c>
      <c r="H349" s="30">
        <f t="shared" si="20"/>
        <v>0</v>
      </c>
      <c r="I349" s="4">
        <f t="shared" si="21"/>
        <v>0</v>
      </c>
      <c r="J349" s="31">
        <f>NT_D!I19</f>
        <v>0</v>
      </c>
      <c r="K349" s="31">
        <f>NT_D!J19</f>
        <v>0</v>
      </c>
    </row>
    <row r="350" spans="4:11" ht="12.75">
      <c r="D350" s="4" t="s">
        <v>1524</v>
      </c>
      <c r="E350" s="4">
        <v>5</v>
      </c>
      <c r="F350" s="32">
        <f>NT_D!G20</f>
        <v>12</v>
      </c>
      <c r="G350" s="32" t="str">
        <f>IF(NT_D!H20&lt;&gt;"",NT_D!H20,"")</f>
        <v>0</v>
      </c>
      <c r="H350" s="30">
        <f t="shared" si="20"/>
        <v>0</v>
      </c>
      <c r="I350" s="4">
        <f t="shared" si="21"/>
        <v>0</v>
      </c>
      <c r="J350" s="31">
        <f>NT_D!I20</f>
        <v>0</v>
      </c>
      <c r="K350" s="31">
        <f>NT_D!J20</f>
        <v>0</v>
      </c>
    </row>
    <row r="351" spans="4:11" ht="12.75">
      <c r="D351" s="4" t="s">
        <v>1524</v>
      </c>
      <c r="E351" s="4">
        <v>5</v>
      </c>
      <c r="F351" s="32">
        <f>NT_D!G22</f>
        <v>13</v>
      </c>
      <c r="G351" s="32" t="str">
        <f>IF(NT_D!H22&lt;&gt;"",NT_D!H22,"")</f>
        <v>0</v>
      </c>
      <c r="H351" s="30">
        <f t="shared" si="20"/>
        <v>0</v>
      </c>
      <c r="I351" s="4">
        <f t="shared" si="21"/>
        <v>0</v>
      </c>
      <c r="J351" s="31">
        <f>NT_D!I22</f>
        <v>0</v>
      </c>
      <c r="K351" s="31">
        <f>NT_D!J22</f>
        <v>0</v>
      </c>
    </row>
    <row r="352" spans="4:11" ht="12.75">
      <c r="D352" s="4" t="s">
        <v>1524</v>
      </c>
      <c r="E352" s="4">
        <v>5</v>
      </c>
      <c r="F352" s="32">
        <f>NT_D!G23</f>
        <v>14</v>
      </c>
      <c r="G352" s="32" t="str">
        <f>IF(NT_D!H23&lt;&gt;"",NT_D!H23,"")</f>
        <v>0</v>
      </c>
      <c r="H352" s="30">
        <f t="shared" si="20"/>
        <v>0</v>
      </c>
      <c r="I352" s="4">
        <f t="shared" si="21"/>
        <v>0</v>
      </c>
      <c r="J352" s="31">
        <f>NT_D!I23</f>
        <v>0</v>
      </c>
      <c r="K352" s="31">
        <f>NT_D!J23</f>
        <v>0</v>
      </c>
    </row>
    <row r="353" spans="4:11" ht="12.75">
      <c r="D353" s="4" t="s">
        <v>1524</v>
      </c>
      <c r="E353" s="4">
        <v>5</v>
      </c>
      <c r="F353" s="32">
        <f>NT_D!G24</f>
        <v>15</v>
      </c>
      <c r="G353" s="32" t="str">
        <f>IF(NT_D!H24&lt;&gt;"",NT_D!H24,"")</f>
        <v>0</v>
      </c>
      <c r="H353" s="30">
        <f t="shared" si="20"/>
        <v>0</v>
      </c>
      <c r="I353" s="4">
        <f t="shared" si="21"/>
        <v>0</v>
      </c>
      <c r="J353" s="31">
        <f>NT_D!I24</f>
        <v>0</v>
      </c>
      <c r="K353" s="31">
        <f>NT_D!J24</f>
        <v>0</v>
      </c>
    </row>
    <row r="354" spans="4:11" ht="12.75">
      <c r="D354" s="4" t="s">
        <v>1524</v>
      </c>
      <c r="E354" s="4">
        <v>5</v>
      </c>
      <c r="F354" s="32">
        <f>NT_D!G25</f>
        <v>16</v>
      </c>
      <c r="G354" s="32" t="str">
        <f>IF(NT_D!H25&lt;&gt;"",NT_D!H25,"")</f>
        <v>0</v>
      </c>
      <c r="H354" s="30">
        <f t="shared" si="20"/>
        <v>0</v>
      </c>
      <c r="I354" s="4">
        <f t="shared" si="21"/>
        <v>0</v>
      </c>
      <c r="J354" s="31">
        <f>NT_D!I25</f>
        <v>0</v>
      </c>
      <c r="K354" s="31">
        <f>NT_D!J25</f>
        <v>0</v>
      </c>
    </row>
    <row r="355" spans="4:11" ht="12.75">
      <c r="D355" s="4" t="s">
        <v>1524</v>
      </c>
      <c r="E355" s="4">
        <v>5</v>
      </c>
      <c r="F355" s="32">
        <f>NT_D!G26</f>
        <v>17</v>
      </c>
      <c r="G355" s="32" t="str">
        <f>IF(NT_D!H26&lt;&gt;"",NT_D!H26,"")</f>
        <v>0</v>
      </c>
      <c r="H355" s="30">
        <f t="shared" si="20"/>
        <v>0</v>
      </c>
      <c r="I355" s="4">
        <f t="shared" si="21"/>
        <v>0</v>
      </c>
      <c r="J355" s="31">
        <f>NT_D!I26</f>
        <v>0</v>
      </c>
      <c r="K355" s="31">
        <f>NT_D!J26</f>
        <v>0</v>
      </c>
    </row>
    <row r="356" spans="4:11" ht="12.75">
      <c r="D356" s="4" t="s">
        <v>1524</v>
      </c>
      <c r="E356" s="4">
        <v>5</v>
      </c>
      <c r="F356" s="32">
        <f>NT_D!G27</f>
        <v>18</v>
      </c>
      <c r="G356" s="32" t="str">
        <f>IF(NT_D!H27&lt;&gt;"",NT_D!H27,"")</f>
        <v>0</v>
      </c>
      <c r="H356" s="30">
        <f t="shared" si="20"/>
        <v>0</v>
      </c>
      <c r="I356" s="4">
        <f t="shared" si="21"/>
        <v>0</v>
      </c>
      <c r="J356" s="31">
        <f>NT_D!I27</f>
        <v>0</v>
      </c>
      <c r="K356" s="31">
        <f>NT_D!J27</f>
        <v>0</v>
      </c>
    </row>
    <row r="357" spans="4:11" ht="12.75">
      <c r="D357" s="4" t="s">
        <v>1524</v>
      </c>
      <c r="E357" s="4">
        <v>5</v>
      </c>
      <c r="F357" s="32">
        <f>NT_D!G28</f>
        <v>19</v>
      </c>
      <c r="G357" s="32" t="str">
        <f>IF(NT_D!H28&lt;&gt;"",NT_D!H28,"")</f>
        <v>0</v>
      </c>
      <c r="H357" s="30">
        <f t="shared" si="20"/>
        <v>0</v>
      </c>
      <c r="I357" s="4">
        <f t="shared" si="21"/>
        <v>0</v>
      </c>
      <c r="J357" s="31">
        <f>NT_D!I28</f>
        <v>0</v>
      </c>
      <c r="K357" s="31">
        <f>NT_D!J28</f>
        <v>0</v>
      </c>
    </row>
    <row r="358" spans="4:11" ht="12.75">
      <c r="D358" s="4" t="s">
        <v>1524</v>
      </c>
      <c r="E358" s="4">
        <v>5</v>
      </c>
      <c r="F358" s="32">
        <f>NT_D!G29</f>
        <v>20</v>
      </c>
      <c r="G358" s="32" t="str">
        <f>IF(NT_D!H29&lt;&gt;"",NT_D!H29,"")</f>
        <v>0</v>
      </c>
      <c r="H358" s="30">
        <f t="shared" si="20"/>
        <v>0</v>
      </c>
      <c r="I358" s="4">
        <f t="shared" si="21"/>
        <v>0</v>
      </c>
      <c r="J358" s="31">
        <f>NT_D!I29</f>
        <v>0</v>
      </c>
      <c r="K358" s="31">
        <f>NT_D!J29</f>
        <v>0</v>
      </c>
    </row>
    <row r="359" spans="4:11" ht="12.75">
      <c r="D359" s="4" t="s">
        <v>1524</v>
      </c>
      <c r="E359" s="4">
        <v>5</v>
      </c>
      <c r="F359" s="32">
        <f>NT_D!G30</f>
        <v>21</v>
      </c>
      <c r="G359" s="32" t="str">
        <f>IF(NT_D!H30&lt;&gt;"",NT_D!H30,"")</f>
        <v>0</v>
      </c>
      <c r="H359" s="30">
        <f t="shared" si="20"/>
        <v>0</v>
      </c>
      <c r="I359" s="4">
        <f t="shared" si="21"/>
        <v>0</v>
      </c>
      <c r="J359" s="31">
        <f>NT_D!I30</f>
        <v>0</v>
      </c>
      <c r="K359" s="31">
        <f>NT_D!J30</f>
        <v>0</v>
      </c>
    </row>
    <row r="360" spans="4:11" ht="12.75">
      <c r="D360" s="4" t="s">
        <v>1524</v>
      </c>
      <c r="E360" s="4">
        <v>5</v>
      </c>
      <c r="F360" s="32">
        <f>NT_D!G31</f>
        <v>22</v>
      </c>
      <c r="G360" s="32" t="str">
        <f>IF(NT_D!H31&lt;&gt;"",NT_D!H31,"")</f>
        <v>0</v>
      </c>
      <c r="H360" s="30">
        <f t="shared" si="20"/>
        <v>0</v>
      </c>
      <c r="I360" s="4">
        <f t="shared" si="21"/>
        <v>0</v>
      </c>
      <c r="J360" s="31">
        <f>NT_D!I31</f>
        <v>0</v>
      </c>
      <c r="K360" s="31">
        <f>NT_D!J31</f>
        <v>0</v>
      </c>
    </row>
    <row r="361" spans="4:11" ht="12.75">
      <c r="D361" s="4" t="s">
        <v>1524</v>
      </c>
      <c r="E361" s="4">
        <v>5</v>
      </c>
      <c r="F361" s="32">
        <f>NT_D!G32</f>
        <v>23</v>
      </c>
      <c r="G361" s="32" t="str">
        <f>IF(NT_D!H32&lt;&gt;"",NT_D!H32,"")</f>
        <v>0</v>
      </c>
      <c r="H361" s="30">
        <f t="shared" si="20"/>
        <v>0</v>
      </c>
      <c r="I361" s="4">
        <f t="shared" si="21"/>
        <v>0</v>
      </c>
      <c r="J361" s="31">
        <f>NT_D!I32</f>
        <v>0</v>
      </c>
      <c r="K361" s="31">
        <f>NT_D!J32</f>
        <v>0</v>
      </c>
    </row>
    <row r="362" spans="4:11" ht="12.75">
      <c r="D362" s="4" t="s">
        <v>1524</v>
      </c>
      <c r="E362" s="4">
        <v>5</v>
      </c>
      <c r="F362" s="32">
        <f>NT_D!G33</f>
        <v>24</v>
      </c>
      <c r="G362" s="32" t="str">
        <f>IF(NT_D!H33&lt;&gt;"",NT_D!H33,"")</f>
        <v>0</v>
      </c>
      <c r="H362" s="30">
        <f t="shared" si="20"/>
        <v>0</v>
      </c>
      <c r="I362" s="4">
        <f t="shared" si="21"/>
        <v>0</v>
      </c>
      <c r="J362" s="31">
        <f>NT_D!I33</f>
        <v>0</v>
      </c>
      <c r="K362" s="31">
        <f>NT_D!J33</f>
        <v>0</v>
      </c>
    </row>
    <row r="363" spans="4:11" ht="12.75">
      <c r="D363" s="4" t="s">
        <v>1524</v>
      </c>
      <c r="E363" s="4">
        <v>5</v>
      </c>
      <c r="F363" s="32">
        <f>NT_D!G34</f>
        <v>25</v>
      </c>
      <c r="G363" s="32" t="str">
        <f>IF(NT_D!H34&lt;&gt;"",NT_D!H34,"")</f>
        <v>0</v>
      </c>
      <c r="H363" s="30">
        <f t="shared" si="20"/>
        <v>0</v>
      </c>
      <c r="I363" s="4">
        <f t="shared" si="21"/>
        <v>0</v>
      </c>
      <c r="J363" s="31">
        <f>NT_D!I34</f>
        <v>0</v>
      </c>
      <c r="K363" s="31">
        <f>NT_D!J34</f>
        <v>0</v>
      </c>
    </row>
    <row r="364" spans="4:11" ht="12.75">
      <c r="D364" s="4" t="s">
        <v>1524</v>
      </c>
      <c r="E364" s="4">
        <v>5</v>
      </c>
      <c r="F364" s="32">
        <f>NT_D!G35</f>
        <v>26</v>
      </c>
      <c r="G364" s="32" t="str">
        <f>IF(NT_D!H35&lt;&gt;"",NT_D!H35,"")</f>
        <v>0</v>
      </c>
      <c r="H364" s="30">
        <f t="shared" si="20"/>
        <v>0</v>
      </c>
      <c r="I364" s="4">
        <f t="shared" si="21"/>
        <v>0</v>
      </c>
      <c r="J364" s="31">
        <f>NT_D!I35</f>
        <v>0</v>
      </c>
      <c r="K364" s="31">
        <f>NT_D!J35</f>
        <v>0</v>
      </c>
    </row>
    <row r="365" spans="4:11" ht="12.75">
      <c r="D365" s="4" t="s">
        <v>1524</v>
      </c>
      <c r="E365" s="4">
        <v>5</v>
      </c>
      <c r="F365" s="32">
        <f>NT_D!G37</f>
        <v>27</v>
      </c>
      <c r="G365" s="32" t="str">
        <f>IF(NT_D!H37&lt;&gt;"",NT_D!H37,"")</f>
        <v>0</v>
      </c>
      <c r="H365" s="30">
        <f t="shared" si="20"/>
        <v>0</v>
      </c>
      <c r="I365" s="4">
        <f t="shared" si="21"/>
        <v>0</v>
      </c>
      <c r="J365" s="31">
        <f>NT_D!I37</f>
        <v>0</v>
      </c>
      <c r="K365" s="31">
        <f>NT_D!J37</f>
        <v>0</v>
      </c>
    </row>
    <row r="366" spans="4:11" ht="12.75">
      <c r="D366" s="4" t="s">
        <v>1524</v>
      </c>
      <c r="E366" s="4">
        <v>5</v>
      </c>
      <c r="F366" s="32">
        <f>NT_D!G38</f>
        <v>28</v>
      </c>
      <c r="G366" s="32" t="str">
        <f>IF(NT_D!H38&lt;&gt;"",NT_D!H38,"")</f>
        <v>0</v>
      </c>
      <c r="H366" s="30">
        <f t="shared" si="20"/>
        <v>0</v>
      </c>
      <c r="I366" s="4">
        <f t="shared" si="21"/>
        <v>0</v>
      </c>
      <c r="J366" s="31">
        <f>NT_D!I38</f>
        <v>0</v>
      </c>
      <c r="K366" s="31">
        <f>NT_D!J38</f>
        <v>0</v>
      </c>
    </row>
    <row r="367" spans="4:11" ht="12.75">
      <c r="D367" s="4" t="s">
        <v>1524</v>
      </c>
      <c r="E367" s="4">
        <v>5</v>
      </c>
      <c r="F367" s="32">
        <f>NT_D!G39</f>
        <v>29</v>
      </c>
      <c r="G367" s="32" t="str">
        <f>IF(NT_D!H39&lt;&gt;"",NT_D!H39,"")</f>
        <v>0</v>
      </c>
      <c r="H367" s="30">
        <f t="shared" si="20"/>
        <v>0</v>
      </c>
      <c r="I367" s="4">
        <f t="shared" si="21"/>
        <v>0</v>
      </c>
      <c r="J367" s="31">
        <f>NT_D!I39</f>
        <v>0</v>
      </c>
      <c r="K367" s="31">
        <f>NT_D!J39</f>
        <v>0</v>
      </c>
    </row>
    <row r="368" spans="4:11" ht="12.75">
      <c r="D368" s="4" t="s">
        <v>1524</v>
      </c>
      <c r="E368" s="4">
        <v>5</v>
      </c>
      <c r="F368" s="32">
        <f>NT_D!G40</f>
        <v>30</v>
      </c>
      <c r="G368" s="32" t="str">
        <f>IF(NT_D!H40&lt;&gt;"",NT_D!H40,"")</f>
        <v>0</v>
      </c>
      <c r="H368" s="30">
        <f t="shared" si="20"/>
        <v>0</v>
      </c>
      <c r="I368" s="4">
        <f t="shared" si="21"/>
        <v>0</v>
      </c>
      <c r="J368" s="31">
        <f>NT_D!I40</f>
        <v>0</v>
      </c>
      <c r="K368" s="31">
        <f>NT_D!J40</f>
        <v>0</v>
      </c>
    </row>
    <row r="369" spans="4:11" ht="12.75">
      <c r="D369" s="4" t="s">
        <v>1524</v>
      </c>
      <c r="E369" s="4">
        <v>5</v>
      </c>
      <c r="F369" s="32">
        <f>NT_D!G41</f>
        <v>31</v>
      </c>
      <c r="G369" s="32" t="str">
        <f>IF(NT_D!H41&lt;&gt;"",NT_D!H41,"")</f>
        <v>0</v>
      </c>
      <c r="H369" s="30">
        <f t="shared" si="20"/>
        <v>0</v>
      </c>
      <c r="I369" s="4">
        <f t="shared" si="21"/>
        <v>0</v>
      </c>
      <c r="J369" s="31">
        <f>NT_D!I41</f>
        <v>0</v>
      </c>
      <c r="K369" s="31">
        <f>NT_D!J41</f>
        <v>0</v>
      </c>
    </row>
    <row r="370" spans="4:11" ht="12.75">
      <c r="D370" s="4" t="s">
        <v>1524</v>
      </c>
      <c r="E370" s="4">
        <v>5</v>
      </c>
      <c r="F370" s="32">
        <f>NT_D!G42</f>
        <v>32</v>
      </c>
      <c r="G370" s="32" t="str">
        <f>IF(NT_D!H42&lt;&gt;"",NT_D!H42,"")</f>
        <v>0</v>
      </c>
      <c r="H370" s="30">
        <f t="shared" si="20"/>
        <v>0</v>
      </c>
      <c r="I370" s="4">
        <f t="shared" si="21"/>
        <v>0</v>
      </c>
      <c r="J370" s="31">
        <f>NT_D!I42</f>
        <v>0</v>
      </c>
      <c r="K370" s="31">
        <f>NT_D!J42</f>
        <v>0</v>
      </c>
    </row>
    <row r="371" spans="4:11" ht="12.75">
      <c r="D371" s="4" t="s">
        <v>1524</v>
      </c>
      <c r="E371" s="4">
        <v>5</v>
      </c>
      <c r="F371" s="32">
        <f>NT_D!G43</f>
        <v>33</v>
      </c>
      <c r="G371" s="32" t="str">
        <f>IF(NT_D!H43&lt;&gt;"",NT_D!H43,"")</f>
        <v>0</v>
      </c>
      <c r="H371" s="30">
        <f t="shared" si="20"/>
        <v>0</v>
      </c>
      <c r="I371" s="4">
        <f t="shared" si="21"/>
        <v>0</v>
      </c>
      <c r="J371" s="31">
        <f>NT_D!I43</f>
        <v>0</v>
      </c>
      <c r="K371" s="31">
        <f>NT_D!J43</f>
        <v>0</v>
      </c>
    </row>
    <row r="372" spans="4:11" ht="12.75">
      <c r="D372" s="4" t="s">
        <v>1524</v>
      </c>
      <c r="E372" s="4">
        <v>5</v>
      </c>
      <c r="F372" s="32">
        <f>NT_D!G44</f>
        <v>34</v>
      </c>
      <c r="G372" s="32" t="str">
        <f>IF(NT_D!H44&lt;&gt;"",NT_D!H44,"")</f>
        <v>0</v>
      </c>
      <c r="H372" s="30">
        <f t="shared" si="20"/>
        <v>0</v>
      </c>
      <c r="I372" s="4">
        <f t="shared" si="21"/>
        <v>0</v>
      </c>
      <c r="J372" s="31">
        <f>NT_D!I44</f>
        <v>0</v>
      </c>
      <c r="K372" s="31">
        <f>NT_D!J44</f>
        <v>0</v>
      </c>
    </row>
    <row r="373" spans="4:11" ht="12.75">
      <c r="D373" s="4" t="s">
        <v>1524</v>
      </c>
      <c r="E373" s="4">
        <v>5</v>
      </c>
      <c r="F373" s="32">
        <f>NT_D!G45</f>
        <v>35</v>
      </c>
      <c r="G373" s="32" t="str">
        <f>IF(NT_D!H45&lt;&gt;"",NT_D!H45,"")</f>
        <v>0</v>
      </c>
      <c r="H373" s="30">
        <f t="shared" si="20"/>
        <v>0</v>
      </c>
      <c r="I373" s="4">
        <f t="shared" si="21"/>
        <v>0</v>
      </c>
      <c r="J373" s="31">
        <f>NT_D!I45</f>
        <v>0</v>
      </c>
      <c r="K373" s="31">
        <f>NT_D!J45</f>
        <v>0</v>
      </c>
    </row>
    <row r="374" spans="4:11" ht="12.75">
      <c r="D374" s="4" t="s">
        <v>1524</v>
      </c>
      <c r="E374" s="4">
        <v>5</v>
      </c>
      <c r="F374" s="32">
        <f>NT_D!G46</f>
        <v>36</v>
      </c>
      <c r="G374" s="32" t="str">
        <f>IF(NT_D!H46&lt;&gt;"",NT_D!H46,"")</f>
        <v>0</v>
      </c>
      <c r="H374" s="30">
        <f t="shared" si="20"/>
        <v>0</v>
      </c>
      <c r="I374" s="4">
        <f t="shared" si="21"/>
        <v>0</v>
      </c>
      <c r="J374" s="31">
        <f>NT_D!I46</f>
        <v>0</v>
      </c>
      <c r="K374" s="31">
        <f>NT_D!J46</f>
        <v>0</v>
      </c>
    </row>
    <row r="375" spans="4:11" ht="12.75">
      <c r="D375" s="4" t="s">
        <v>1524</v>
      </c>
      <c r="E375" s="4">
        <v>5</v>
      </c>
      <c r="F375" s="32">
        <f>NT_D!G47</f>
        <v>37</v>
      </c>
      <c r="G375" s="32" t="str">
        <f>IF(NT_D!H47&lt;&gt;"",NT_D!H47,"")</f>
        <v>0</v>
      </c>
      <c r="H375" s="30">
        <f t="shared" si="20"/>
        <v>0</v>
      </c>
      <c r="I375" s="4">
        <f t="shared" si="21"/>
        <v>0</v>
      </c>
      <c r="J375" s="31">
        <f>NT_D!I47</f>
        <v>0</v>
      </c>
      <c r="K375" s="31">
        <f>NT_D!J47</f>
        <v>0</v>
      </c>
    </row>
    <row r="376" spans="4:11" ht="12.75">
      <c r="D376" s="4" t="s">
        <v>1524</v>
      </c>
      <c r="E376" s="4">
        <v>5</v>
      </c>
      <c r="F376" s="32">
        <f>NT_D!G48</f>
        <v>38</v>
      </c>
      <c r="G376" s="32" t="str">
        <f>IF(NT_D!H48&lt;&gt;"",NT_D!H48,"")</f>
        <v>0</v>
      </c>
      <c r="H376" s="30">
        <f t="shared" si="20"/>
        <v>0</v>
      </c>
      <c r="I376" s="4">
        <f t="shared" si="21"/>
        <v>0</v>
      </c>
      <c r="J376" s="31">
        <f>NT_D!I48</f>
        <v>0</v>
      </c>
      <c r="K376" s="31">
        <f>NT_D!J48</f>
        <v>0</v>
      </c>
    </row>
    <row r="377" spans="4:11" ht="12.75">
      <c r="D377" s="4" t="s">
        <v>1524</v>
      </c>
      <c r="E377" s="4">
        <v>5</v>
      </c>
      <c r="F377" s="32">
        <f>NT_D!G49</f>
        <v>39</v>
      </c>
      <c r="G377" s="32" t="str">
        <f>IF(NT_D!H49&lt;&gt;"",NT_D!H49,"")</f>
        <v>0</v>
      </c>
      <c r="H377" s="30">
        <f t="shared" si="20"/>
        <v>0</v>
      </c>
      <c r="I377" s="4">
        <f t="shared" si="21"/>
        <v>0</v>
      </c>
      <c r="J377" s="31">
        <f>NT_D!I49</f>
        <v>0</v>
      </c>
      <c r="K377" s="31">
        <f>NT_D!J49</f>
        <v>0</v>
      </c>
    </row>
    <row r="378" spans="4:11" ht="12.75">
      <c r="D378" s="4" t="s">
        <v>1524</v>
      </c>
      <c r="E378" s="4">
        <v>5</v>
      </c>
      <c r="F378" s="32">
        <f>NT_D!G50</f>
        <v>40</v>
      </c>
      <c r="G378" s="32" t="str">
        <f>IF(NT_D!H50&lt;&gt;"",NT_D!H50,"")</f>
        <v>0</v>
      </c>
      <c r="H378" s="30">
        <f t="shared" si="20"/>
        <v>0</v>
      </c>
      <c r="I378" s="4">
        <f t="shared" si="21"/>
        <v>0</v>
      </c>
      <c r="J378" s="31">
        <f>NT_D!I50</f>
        <v>0</v>
      </c>
      <c r="K378" s="31">
        <f>NT_D!J50</f>
        <v>0</v>
      </c>
    </row>
    <row r="379" spans="4:11" ht="12.75">
      <c r="D379" s="4" t="s">
        <v>1524</v>
      </c>
      <c r="E379" s="4">
        <v>5</v>
      </c>
      <c r="F379" s="32">
        <f>NT_D!G51</f>
        <v>41</v>
      </c>
      <c r="G379" s="32" t="str">
        <f>IF(NT_D!H51&lt;&gt;"",NT_D!H51,"")</f>
        <v>0</v>
      </c>
      <c r="H379" s="30">
        <f t="shared" si="20"/>
        <v>0</v>
      </c>
      <c r="I379" s="4">
        <f t="shared" si="21"/>
        <v>0</v>
      </c>
      <c r="J379" s="31">
        <f>NT_D!I51</f>
        <v>0</v>
      </c>
      <c r="K379" s="31">
        <f>NT_D!J51</f>
        <v>0</v>
      </c>
    </row>
    <row r="380" spans="4:11" ht="12.75">
      <c r="D380" s="4" t="s">
        <v>1524</v>
      </c>
      <c r="E380" s="4">
        <v>5</v>
      </c>
      <c r="F380" s="32">
        <f>NT_D!G52</f>
        <v>42</v>
      </c>
      <c r="G380" s="32" t="str">
        <f>IF(NT_D!H52&lt;&gt;"",NT_D!H52,"")</f>
        <v>0</v>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34" operator="equal" stopIfTrue="1">
      <formula>0</formula>
    </cfRule>
  </conditionalFormatting>
  <printOptions/>
  <pageMargins left="0.75" right="0.75" top="1" bottom="1" header="0.5" footer="0.5"/>
  <pageSetup horizontalDpi="1200" verticalDpi="12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6" activePane="bottomLeft" state="frozen"/>
      <selection pane="topLeft" activeCell="A2" sqref="A2"/>
      <selection pane="bottomLeft" activeCell="C76" sqref="C76:J7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ISTRA d.d.</v>
      </c>
      <c r="X2" s="209" t="s">
        <v>207</v>
      </c>
      <c r="Y2" s="231">
        <f>IF(RefStr!C54&lt;&gt;"",RefStr!C54,"")</f>
        <v>100</v>
      </c>
      <c r="Z2" s="209" t="s">
        <v>2326</v>
      </c>
      <c r="AA2" s="231">
        <f>IF(RefStr!B64="","",RefStr!B64)</f>
      </c>
    </row>
    <row r="3" spans="1:27" ht="13.5" customHeight="1">
      <c r="A3" s="499" t="s">
        <v>2472</v>
      </c>
      <c r="B3" s="500"/>
      <c r="C3" s="500"/>
      <c r="D3" s="500"/>
      <c r="E3" s="500"/>
      <c r="F3" s="500"/>
      <c r="G3" s="500"/>
      <c r="H3" s="500"/>
      <c r="I3" s="507"/>
      <c r="J3" s="508"/>
      <c r="L3" s="145"/>
      <c r="M3" s="145"/>
      <c r="N3" s="208" t="s">
        <v>541</v>
      </c>
      <c r="O3" s="211">
        <f>RDG!Q1</f>
        <v>1</v>
      </c>
      <c r="P3" s="212">
        <f>RDG!Q2</f>
        <v>1</v>
      </c>
      <c r="Q3" s="232">
        <f>RDG!Q3</f>
        <v>1</v>
      </c>
      <c r="R3" s="211" t="s">
        <v>1824</v>
      </c>
      <c r="S3" s="232">
        <f>IF(RefStr!C50&lt;&gt;"",IF(ISERROR(INT(RefStr!C50)),0,RefStr!C50),0)</f>
        <v>2</v>
      </c>
      <c r="T3" s="211" t="s">
        <v>777</v>
      </c>
      <c r="U3" s="232" t="str">
        <f>RefStr!L21</f>
        <v>52011850372</v>
      </c>
      <c r="V3" s="211" t="s">
        <v>2355</v>
      </c>
      <c r="W3" s="232">
        <f>RefStr!C31</f>
        <v>52100</v>
      </c>
      <c r="X3" s="211" t="s">
        <v>208</v>
      </c>
      <c r="Y3" s="232">
        <f>IF(RefStr!F54&lt;&gt;"",RefStr!F54,"")</f>
        <v>0</v>
      </c>
      <c r="Z3" s="211" t="s">
        <v>2327</v>
      </c>
      <c r="AA3" s="232">
        <f>IF(RefStr!B66="","",RefStr!B66)</f>
      </c>
    </row>
    <row r="4" spans="1:27" ht="13.5" customHeight="1">
      <c r="A4" s="501"/>
      <c r="B4" s="502"/>
      <c r="C4" s="502"/>
      <c r="D4" s="502"/>
      <c r="E4" s="502"/>
      <c r="F4" s="502"/>
      <c r="G4" s="502"/>
      <c r="H4" s="502"/>
      <c r="I4" s="222" t="s">
        <v>15</v>
      </c>
      <c r="J4" s="223">
        <f>SUM(L12:L120)</f>
        <v>0</v>
      </c>
      <c r="L4" s="3"/>
      <c r="M4" s="3"/>
      <c r="N4" s="208" t="s">
        <v>1522</v>
      </c>
      <c r="O4" s="211">
        <f>Dodatni!Q1</f>
        <v>1</v>
      </c>
      <c r="P4" s="212">
        <f>Dodatni!Q2</f>
        <v>1</v>
      </c>
      <c r="Q4" s="232">
        <f>Dodatni!Q3</f>
        <v>1</v>
      </c>
      <c r="R4" s="211" t="s">
        <v>1199</v>
      </c>
      <c r="S4" s="232">
        <f>IF(RefStr!C52&lt;&gt;"",IF(ISERROR(INT(RefStr!C52)),0,RefStr!C52),0)</f>
        <v>21</v>
      </c>
      <c r="T4" s="211" t="s">
        <v>2718</v>
      </c>
      <c r="U4" s="232" t="str">
        <f>RefStr!C27</f>
        <v>07538718933</v>
      </c>
      <c r="V4" s="211" t="s">
        <v>2356</v>
      </c>
      <c r="W4" s="232" t="str">
        <f>RefStr!F31</f>
        <v>Pula</v>
      </c>
      <c r="X4" s="234" t="s">
        <v>222</v>
      </c>
      <c r="Y4" s="235" t="str">
        <f>RefStr!I68</f>
        <v>DA</v>
      </c>
      <c r="Z4" s="211" t="s">
        <v>2570</v>
      </c>
      <c r="AA4" s="232" t="str">
        <f>RefStr!N19</f>
        <v>HSFI</v>
      </c>
    </row>
    <row r="5" spans="1:27" ht="13.5" customHeight="1">
      <c r="A5" s="501"/>
      <c r="B5" s="502"/>
      <c r="C5" s="502"/>
      <c r="D5" s="502"/>
      <c r="E5" s="502"/>
      <c r="F5" s="502"/>
      <c r="G5" s="502"/>
      <c r="H5" s="502"/>
      <c r="I5" s="509"/>
      <c r="J5" s="510"/>
      <c r="L5" s="3"/>
      <c r="M5" s="3"/>
      <c r="N5" s="208" t="s">
        <v>1523</v>
      </c>
      <c r="O5" s="211">
        <f>NT_I!Q1</f>
        <v>0</v>
      </c>
      <c r="P5" s="212">
        <f>NT_I!Q2</f>
        <v>0</v>
      </c>
      <c r="Q5" s="232">
        <f>NT_I!Q3</f>
        <v>0</v>
      </c>
      <c r="R5" s="211" t="s">
        <v>1197</v>
      </c>
      <c r="S5" s="232">
        <f>IF(RefStr!C19&lt;&gt;"",IF(ISERROR(INT(RefStr!C19)),0,RefStr!C19),0)</f>
        <v>3</v>
      </c>
      <c r="T5" s="211" t="s">
        <v>2352</v>
      </c>
      <c r="U5" s="232" t="str">
        <f>RefStr!H27</f>
        <v>03203077</v>
      </c>
      <c r="V5" s="211" t="s">
        <v>2357</v>
      </c>
      <c r="W5" s="232" t="str">
        <f>RefStr!C33</f>
        <v>Narodni trg 10</v>
      </c>
      <c r="X5" s="234" t="s">
        <v>2517</v>
      </c>
      <c r="Y5" s="235" t="str">
        <f>RefStr!I62</f>
        <v>DA</v>
      </c>
      <c r="Z5" s="211" t="s">
        <v>691</v>
      </c>
      <c r="AA5" s="232">
        <f>RefStr!M46</f>
        <v>0</v>
      </c>
    </row>
    <row r="6" spans="1:27" ht="13.5" customHeight="1">
      <c r="A6" s="501"/>
      <c r="B6" s="502"/>
      <c r="C6" s="502"/>
      <c r="D6" s="502"/>
      <c r="E6" s="502"/>
      <c r="F6" s="502"/>
      <c r="G6" s="502"/>
      <c r="H6" s="502"/>
      <c r="I6" s="509"/>
      <c r="J6" s="510"/>
      <c r="L6" s="3"/>
      <c r="M6" s="3"/>
      <c r="N6" s="208" t="s">
        <v>1524</v>
      </c>
      <c r="O6" s="211">
        <f>NT_D!Q1</f>
        <v>0</v>
      </c>
      <c r="P6" s="212">
        <f>NT_D!Q2</f>
        <v>0</v>
      </c>
      <c r="Q6" s="232">
        <f>NT_D!Q3</f>
        <v>0</v>
      </c>
      <c r="R6" s="211" t="s">
        <v>1195</v>
      </c>
      <c r="S6" s="232" t="str">
        <f>RefStr!C21</f>
        <v>NE</v>
      </c>
      <c r="T6" s="211" t="s">
        <v>2353</v>
      </c>
      <c r="U6" s="232" t="str">
        <f>RefStr!M27</f>
        <v>040016469</v>
      </c>
      <c r="V6" s="211" t="s">
        <v>2568</v>
      </c>
      <c r="W6" s="232" t="str">
        <f>RefStr!L35</f>
        <v>01/6666 306</v>
      </c>
      <c r="X6" s="211" t="s">
        <v>2514</v>
      </c>
      <c r="Y6" s="232" t="str">
        <f>RefStr!C68</f>
        <v>IVANA LEGIN</v>
      </c>
      <c r="Z6" s="211" t="s">
        <v>1415</v>
      </c>
      <c r="AA6" s="232">
        <f>RefStr!C46</f>
        <v>0</v>
      </c>
    </row>
    <row r="7" spans="1:27" ht="13.5" customHeight="1">
      <c r="A7" s="501"/>
      <c r="B7" s="502"/>
      <c r="C7" s="502"/>
      <c r="D7" s="502"/>
      <c r="E7" s="502"/>
      <c r="F7" s="502"/>
      <c r="G7" s="502"/>
      <c r="H7" s="502"/>
      <c r="I7" s="222" t="s">
        <v>16</v>
      </c>
      <c r="J7" s="224">
        <f>SUM(M12:M120)</f>
        <v>3</v>
      </c>
      <c r="N7" s="208" t="s">
        <v>542</v>
      </c>
      <c r="O7" s="211">
        <f>PK!AA1</f>
        <v>0</v>
      </c>
      <c r="P7" s="212">
        <f>PK!AA2</f>
        <v>0</v>
      </c>
      <c r="Q7" s="232">
        <f>PK!AA3</f>
        <v>0</v>
      </c>
      <c r="R7" s="211" t="s">
        <v>2569</v>
      </c>
      <c r="S7" s="232">
        <f>IF(RefStr!C44&lt;&gt;"",IF(ISERROR(INT(RefStr!C44)),0,RefStr!C44),0)</f>
        <v>7</v>
      </c>
      <c r="T7" s="211" t="s">
        <v>1862</v>
      </c>
      <c r="U7" s="232">
        <f>RefStr!C7</f>
        <v>4</v>
      </c>
      <c r="V7" s="211" t="s">
        <v>1193</v>
      </c>
      <c r="W7" s="232" t="str">
        <f>TRIM(UPPER(RefStr!C35))</f>
        <v>INFO@CCS.HR</v>
      </c>
      <c r="X7" s="211" t="s">
        <v>2515</v>
      </c>
      <c r="Y7" s="232" t="str">
        <f>RefStr!C70</f>
        <v>01/6666 306</v>
      </c>
      <c r="Z7" s="211" t="s">
        <v>1416</v>
      </c>
      <c r="AA7" s="232">
        <f>RefStr!D46</f>
      </c>
    </row>
    <row r="8" spans="1:27" ht="13.5" customHeight="1">
      <c r="A8" s="503"/>
      <c r="B8" s="504"/>
      <c r="C8" s="504"/>
      <c r="D8" s="504"/>
      <c r="E8" s="504"/>
      <c r="F8" s="504"/>
      <c r="G8" s="504"/>
      <c r="H8" s="504"/>
      <c r="I8" s="505"/>
      <c r="J8" s="506"/>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Dioničko društvo</v>
      </c>
      <c r="V8" s="211" t="s">
        <v>2574</v>
      </c>
      <c r="W8" s="232" t="str">
        <f>RefStr!C42</f>
        <v>4690</v>
      </c>
      <c r="X8" s="211" t="s">
        <v>2516</v>
      </c>
      <c r="Y8" s="232" t="str">
        <f>TRIM(UPPER(RefStr!C72))</f>
        <v>INFO@CCS.HR</v>
      </c>
      <c r="Z8" s="236" t="s">
        <v>218</v>
      </c>
      <c r="AA8" s="237" t="str">
        <f>RefStr!I56</f>
        <v>DA</v>
      </c>
    </row>
    <row r="9" spans="1:27" ht="13.5" customHeight="1">
      <c r="A9" s="494" t="s">
        <v>566</v>
      </c>
      <c r="B9" s="494"/>
      <c r="C9" s="494" t="s">
        <v>727</v>
      </c>
      <c r="D9" s="494"/>
      <c r="E9" s="494"/>
      <c r="F9" s="494"/>
      <c r="G9" s="494"/>
      <c r="H9" s="494"/>
      <c r="I9" s="494"/>
      <c r="J9" s="494"/>
      <c r="L9" s="195"/>
      <c r="M9" s="195"/>
      <c r="O9" s="230" t="s">
        <v>614</v>
      </c>
      <c r="P9" s="209">
        <f>RefStr!C58</f>
        <v>16</v>
      </c>
      <c r="Q9" s="231">
        <f>RefStr!F58</f>
        <v>5</v>
      </c>
      <c r="R9" s="211" t="s">
        <v>1860</v>
      </c>
      <c r="S9" s="232">
        <f>IF(RefStr!F4&lt;&gt;"",RefStr!F4,0)</f>
        <v>43830</v>
      </c>
      <c r="T9" s="211" t="s">
        <v>1821</v>
      </c>
      <c r="U9" s="232">
        <f>RefStr!C39</f>
        <v>359</v>
      </c>
      <c r="V9" s="211" t="s">
        <v>1414</v>
      </c>
      <c r="W9" s="232" t="str">
        <f>RefStr!D42</f>
        <v>Nespecijalizirana trgovina na veliko </v>
      </c>
      <c r="X9" s="238" t="s">
        <v>221</v>
      </c>
      <c r="Y9" s="239" t="str">
        <f>RefStr!I66</f>
        <v>DA</v>
      </c>
      <c r="Z9" s="236" t="s">
        <v>219</v>
      </c>
      <c r="AA9" s="237" t="str">
        <f>RefStr!I64</f>
        <v>NE</v>
      </c>
    </row>
    <row r="10" spans="1:27" ht="13.5" customHeight="1">
      <c r="A10" s="495"/>
      <c r="B10" s="495"/>
      <c r="C10" s="495"/>
      <c r="D10" s="495"/>
      <c r="E10" s="495"/>
      <c r="F10" s="495"/>
      <c r="G10" s="495"/>
      <c r="H10" s="495"/>
      <c r="I10" s="495"/>
      <c r="J10" s="495"/>
      <c r="L10" s="195"/>
      <c r="M10" s="195"/>
      <c r="O10" s="230" t="s">
        <v>2123</v>
      </c>
      <c r="P10" s="213">
        <f>RefStr!C56</f>
        <v>16</v>
      </c>
      <c r="Q10" s="233">
        <f>RefStr!F56</f>
        <v>5</v>
      </c>
      <c r="R10" s="213" t="s">
        <v>1863</v>
      </c>
      <c r="S10" s="233">
        <f>RefStr!C23</f>
        <v>1</v>
      </c>
      <c r="T10" s="213" t="s">
        <v>2573</v>
      </c>
      <c r="U10" s="233" t="str">
        <f>RefStr!D39</f>
        <v>Pula</v>
      </c>
      <c r="V10" s="240"/>
      <c r="W10" s="241"/>
      <c r="X10" s="242" t="s">
        <v>1974</v>
      </c>
      <c r="Y10" s="243">
        <f>RefStr!F12</f>
        <v>2019</v>
      </c>
      <c r="Z10" s="213" t="s">
        <v>209</v>
      </c>
      <c r="AA10" s="233" t="str">
        <f>RefStr!A75</f>
        <v>KORUGA DUŠKO, LEGIN IVANA</v>
      </c>
    </row>
    <row r="11" spans="1:25" ht="13.5" customHeight="1">
      <c r="A11" s="491" t="s">
        <v>642</v>
      </c>
      <c r="B11" s="492"/>
      <c r="C11" s="492"/>
      <c r="D11" s="492"/>
      <c r="E11" s="492"/>
      <c r="F11" s="492"/>
      <c r="G11" s="492"/>
      <c r="H11" s="492"/>
      <c r="I11" s="492"/>
      <c r="J11" s="493"/>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6" t="s">
        <v>516</v>
      </c>
      <c r="B42" s="497"/>
      <c r="C42" s="497"/>
      <c r="D42" s="497"/>
      <c r="E42" s="497"/>
      <c r="F42" s="497"/>
      <c r="G42" s="497"/>
      <c r="H42" s="497"/>
      <c r="I42" s="497"/>
      <c r="J42" s="498"/>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1</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0</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1" t="s">
        <v>2895</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4" t="s">
        <v>114</v>
      </c>
      <c r="B73" s="515"/>
      <c r="C73" s="515"/>
      <c r="D73" s="515"/>
      <c r="E73" s="515"/>
      <c r="F73" s="515"/>
      <c r="G73" s="515"/>
      <c r="H73" s="515"/>
      <c r="I73" s="515"/>
      <c r="J73" s="516"/>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Provjera</v>
      </c>
      <c r="C96" s="490" t="s">
        <v>757</v>
      </c>
      <c r="D96" s="490"/>
      <c r="E96" s="490"/>
      <c r="F96" s="490"/>
      <c r="G96" s="490"/>
      <c r="H96" s="490"/>
      <c r="I96" s="490"/>
      <c r="J96" s="490"/>
      <c r="L96" s="195">
        <v>0</v>
      </c>
      <c r="M96" s="195">
        <f aca="true" t="shared" si="16" ref="M96:M105">MAX(N96:W96)</f>
        <v>1</v>
      </c>
      <c r="N96" s="195">
        <f>IF(AND(P9=0,Q9&gt;2,P8&gt;0),1,0)</f>
        <v>0</v>
      </c>
      <c r="O96" s="195">
        <f>IF(AND(P10=0,Q10&gt;2,P8&gt;0),1,0)</f>
        <v>0</v>
      </c>
      <c r="P96" s="195">
        <f>IF(AND(P9&gt;2,Q9=0,P8&gt;0),1,0)</f>
        <v>0</v>
      </c>
      <c r="Q96" s="198">
        <f>IF(AND(P10&gt;2,Q10=0,P8&gt;0),1,0)</f>
        <v>0</v>
      </c>
      <c r="R96" s="198">
        <f>IF(AND(P9+Q9&gt;10,OR(P9&lt;0.39*(P9+Q9),Q9&lt;0.39*(P9+Q9))),1,0)</f>
        <v>1</v>
      </c>
      <c r="S96" s="198">
        <f>IF(AND(P10+Q10&gt;10,OR(P10&lt;0.39*(P10+Q10),Q10&lt;0.39*(P10+Q10))),1,0)</f>
        <v>1</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90" t="s">
        <v>2126</v>
      </c>
      <c r="D101" s="490"/>
      <c r="E101" s="490"/>
      <c r="F101" s="490"/>
      <c r="G101" s="490"/>
      <c r="H101" s="490"/>
      <c r="I101" s="490"/>
      <c r="J101" s="490"/>
      <c r="L101" s="195">
        <v>0</v>
      </c>
      <c r="M101" s="195">
        <f t="shared" si="16"/>
        <v>1</v>
      </c>
      <c r="N101" s="195">
        <f>IF(AND(OR(S7=2,S7=3,S7=5,S7=6,S7=7),MIN(RDG!I9:J9,RDG!I12:J12)=0),1,0)</f>
        <v>1</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7" t="s">
        <v>723</v>
      </c>
      <c r="B107" s="518"/>
      <c r="C107" s="518"/>
      <c r="D107" s="518"/>
      <c r="E107" s="518"/>
      <c r="F107" s="518"/>
      <c r="G107" s="518"/>
      <c r="H107" s="518"/>
      <c r="I107" s="518"/>
      <c r="J107" s="519"/>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C:\Users\Admin\AppData\Local\Temp\[GFI-POD ISTRA - 2019 - Antares.xls]Bilanca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2" activePane="bottomLeft" state="frozen"/>
      <selection pane="topLeft" activeCell="A1" sqref="A1"/>
      <selection pane="bottomLeft" activeCell="B9" sqref="B9:J9"/>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77" activePane="bottomLeft" state="frozen"/>
      <selection pane="topLeft" activeCell="A1" sqref="A1"/>
      <selection pane="bottomLeft" activeCell="O21" sqref="O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320307.7</v>
      </c>
    </row>
    <row r="13" spans="4:17" ht="9.75" customHeight="1">
      <c r="D13" s="156"/>
      <c r="E13" s="162"/>
      <c r="H13" s="27"/>
      <c r="I13" s="163"/>
      <c r="J13" s="163"/>
      <c r="K13" s="156"/>
      <c r="L13" s="156"/>
      <c r="M13" s="156"/>
      <c r="N13" s="156"/>
      <c r="P13" s="54" t="s">
        <v>2353</v>
      </c>
      <c r="Q13" s="55">
        <f>INT(VALUE(M27))/50</f>
        <v>800329.38</v>
      </c>
    </row>
    <row r="14" spans="1:17" ht="15">
      <c r="A14" s="321" t="s">
        <v>2714</v>
      </c>
      <c r="B14" s="321"/>
      <c r="C14" s="321"/>
      <c r="D14" s="164"/>
      <c r="E14" s="165"/>
      <c r="F14" s="319"/>
      <c r="G14" s="320"/>
      <c r="H14" s="320"/>
      <c r="I14" s="156"/>
      <c r="J14" s="327" t="s">
        <v>2100</v>
      </c>
      <c r="K14" s="328"/>
      <c r="L14" s="328"/>
      <c r="M14" s="328"/>
      <c r="N14" s="328"/>
      <c r="P14" s="54" t="s">
        <v>2718</v>
      </c>
      <c r="Q14" s="55">
        <f>INT(VALUE(C27))/100</f>
        <v>75387189.33</v>
      </c>
    </row>
    <row r="15" spans="1:17" ht="19.5" customHeight="1">
      <c r="A15" s="324">
        <f>Skriveni!B59</f>
        <v>4705007767.61</v>
      </c>
      <c r="B15" s="325"/>
      <c r="C15" s="326"/>
      <c r="D15" s="60"/>
      <c r="E15" s="60"/>
      <c r="F15" s="60"/>
      <c r="G15" s="60"/>
      <c r="H15" s="60"/>
      <c r="I15" s="60"/>
      <c r="J15" s="60"/>
      <c r="K15" s="60"/>
      <c r="L15" s="60"/>
      <c r="M15" s="60"/>
      <c r="N15" s="60"/>
      <c r="P15" s="54" t="s">
        <v>1817</v>
      </c>
      <c r="Q15" s="55">
        <f>LEN(Skriveni!B9)</f>
        <v>10</v>
      </c>
    </row>
    <row r="16" spans="4:17" ht="12.75" customHeight="1">
      <c r="D16" s="60"/>
      <c r="E16" s="60"/>
      <c r="F16" s="60"/>
      <c r="G16" s="60"/>
      <c r="H16" s="60"/>
      <c r="I16" s="60"/>
      <c r="P16" s="54" t="s">
        <v>1818</v>
      </c>
      <c r="Q16" s="55">
        <f>INT(VALUE(C31))/100</f>
        <v>521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4</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3"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4"/>
      <c r="F19" s="374"/>
      <c r="G19" s="374"/>
      <c r="H19" s="374"/>
      <c r="I19" s="349" t="s">
        <v>1729</v>
      </c>
      <c r="J19" s="375"/>
      <c r="K19" s="375"/>
      <c r="L19" s="375"/>
      <c r="M19" s="375"/>
      <c r="N19" s="36" t="s">
        <v>2139</v>
      </c>
      <c r="P19" s="54" t="s">
        <v>1820</v>
      </c>
      <c r="Q19" s="55">
        <f>LEN(Skriveni!B12)</f>
        <v>14</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6" t="s">
        <v>2110</v>
      </c>
      <c r="K21" s="375"/>
      <c r="L21" s="342" t="s">
        <v>2956</v>
      </c>
      <c r="M21" s="343"/>
      <c r="N21" s="344"/>
      <c r="P21" s="54" t="s">
        <v>1821</v>
      </c>
      <c r="Q21" s="55">
        <f>INT(VALUE(C39))</f>
        <v>359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8"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9"/>
      <c r="F23" s="379"/>
      <c r="G23" s="379"/>
      <c r="H23" s="379"/>
      <c r="I23" s="379"/>
      <c r="J23" s="379"/>
      <c r="K23" s="379"/>
      <c r="L23" s="379"/>
      <c r="M23" s="379"/>
      <c r="N23" s="379"/>
      <c r="P23" s="54" t="s">
        <v>2917</v>
      </c>
      <c r="Q23" s="55">
        <f>INT(VALUE(C42))</f>
        <v>4690</v>
      </c>
    </row>
    <row r="24" spans="1:17" ht="9.75" customHeight="1">
      <c r="A24" s="273"/>
      <c r="B24" s="273"/>
      <c r="C24" s="60"/>
      <c r="D24" s="379"/>
      <c r="E24" s="379"/>
      <c r="F24" s="379"/>
      <c r="G24" s="379"/>
      <c r="H24" s="379"/>
      <c r="I24" s="379"/>
      <c r="J24" s="379"/>
      <c r="K24" s="379"/>
      <c r="L24" s="379"/>
      <c r="M24" s="379"/>
      <c r="N24" s="379"/>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5"/>
      <c r="H27" s="274" t="s">
        <v>2957</v>
      </c>
      <c r="I27" s="275"/>
      <c r="J27" s="279" t="s">
        <v>2099</v>
      </c>
      <c r="K27" s="280"/>
      <c r="L27" s="346"/>
      <c r="M27" s="274" t="s">
        <v>2953</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2955</v>
      </c>
      <c r="D29" s="347"/>
      <c r="E29" s="347"/>
      <c r="F29" s="347"/>
      <c r="G29" s="347"/>
      <c r="H29" s="347"/>
      <c r="I29" s="347"/>
      <c r="J29" s="347"/>
      <c r="K29" s="347"/>
      <c r="L29" s="348"/>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52100</v>
      </c>
      <c r="D31" s="335" t="s">
        <v>693</v>
      </c>
      <c r="E31" s="336"/>
      <c r="F31" s="316" t="s">
        <v>432</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7"/>
      <c r="E33" s="347"/>
      <c r="F33" s="347"/>
      <c r="G33" s="347"/>
      <c r="H33" s="347"/>
      <c r="I33" s="347"/>
      <c r="J33" s="347"/>
      <c r="K33" s="347"/>
      <c r="L33" s="348"/>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9"/>
      <c r="L35" s="274" t="s">
        <v>2960</v>
      </c>
      <c r="M35" s="377"/>
      <c r="N35" s="277"/>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2963</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359</v>
      </c>
      <c r="D39" s="350" t="str">
        <f>IF(C39="","Šifra grada/općine nije upisana",IF(ISNA(LOOKUP(C39,A177:A732,A177:A732)),"Šifra grada/općine ne postoji",IF(LOOKUP(C39,A177:A732,A177:A732)&lt;&gt;C39,"Šifra grada/općine ne postoji",LOOKUP(C39,A177:A732,B177:B732))))</f>
        <v>Pula</v>
      </c>
      <c r="E39" s="351"/>
      <c r="F39" s="351"/>
      <c r="G39" s="351"/>
      <c r="H39" s="272" t="s">
        <v>2222</v>
      </c>
      <c r="I39" s="346"/>
      <c r="J39" s="58">
        <f>IF(C39&gt;0,LOOKUP(C39,A177:A732,C177:C732),"")</f>
        <v>18</v>
      </c>
      <c r="K39" s="353" t="str">
        <f>IF(J39="","Treba prvo upisati šifru grada/općine",LOOKUP(J39,A153:A173,B153:B173))</f>
        <v>ISTARSKA</v>
      </c>
      <c r="L39" s="353"/>
      <c r="M39" s="353"/>
      <c r="N39" s="353"/>
      <c r="P39" s="54" t="s">
        <v>1826</v>
      </c>
      <c r="Q39" s="55">
        <f>C56+2*F56+3*C58+4*F58</f>
        <v>94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1373</v>
      </c>
      <c r="D42" s="355" t="str">
        <f>IF(C42="","Šifra NKD-a nije upisana",IF(ISNA(LOOKUP(C42,A736:A1351,A736:A1351)),"Šifra NKD-a ne postoji",IF(LOOKUP(C42,A736:A1351,A736:A1351)&lt;&gt;C42,"Šifra NKD-a ne postoji",LOOKUP(C42,A736:A1351,B736:B1351))))</f>
        <v>Nespecijalizirana trgovina na veliko </v>
      </c>
      <c r="E42" s="356"/>
      <c r="F42" s="356"/>
      <c r="G42" s="357"/>
      <c r="H42" s="356"/>
      <c r="I42" s="356"/>
      <c r="J42" s="356"/>
      <c r="K42" s="356"/>
      <c r="L42" s="356"/>
      <c r="M42" s="356"/>
      <c r="N42" s="356"/>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7</v>
      </c>
      <c r="D44" s="358"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59"/>
      <c r="F44" s="359"/>
      <c r="G44" s="359"/>
      <c r="H44" s="359"/>
      <c r="I44" s="359"/>
      <c r="J44" s="359"/>
      <c r="K44" s="359"/>
      <c r="L44" s="359"/>
      <c r="M44" s="359"/>
      <c r="N44" s="359"/>
      <c r="P44" s="54" t="s">
        <v>530</v>
      </c>
      <c r="Q44" s="55">
        <f>LEN(Skriveni!B43)</f>
        <v>25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7">
        <f>IF(C46="","",IF(ISNA(LOOKUP(C46,A1355:A1603,A1355:A1603)),"Šifra države nepostojeća",IF(LOOKUP(C46,A1355:A1603,A1355:A1603)&lt;&gt;C46,"Šifra države nepostojeća",LOOKUP(C46,A1355:A1603,B1355:B1603))))</f>
      </c>
      <c r="E46" s="368"/>
      <c r="F46" s="368"/>
      <c r="G46" s="368"/>
      <c r="H46" s="368"/>
      <c r="I46" s="368"/>
      <c r="J46" s="279" t="s">
        <v>2130</v>
      </c>
      <c r="K46" s="280"/>
      <c r="L46" s="280"/>
      <c r="M46" s="274"/>
      <c r="N46" s="366"/>
      <c r="P46" s="56" t="s">
        <v>1828</v>
      </c>
      <c r="Q46" s="57">
        <f>INT(VALUE(L21))/100</f>
        <v>520118503.72</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82" t="str">
        <f>IF(C50="","Oznaka veličine nije upisana",IF(ISNA(LOOKUP(C50,A124:A127,A124:A127)),"Nepostojeća oznaka veličine",IF(LOOKUP(C50,A124:A127,A124:A127)&lt;&gt;C50,"Nepostojeća oznaka veličine",LOOKUP(C50,A124:A127,B124:B127))))</f>
        <v>Mali poduzetnik</v>
      </c>
      <c r="E50" s="300"/>
      <c r="F50" s="300"/>
      <c r="G50" s="300"/>
      <c r="H50" s="300"/>
      <c r="I50" s="380" t="s">
        <v>2576</v>
      </c>
      <c r="J50" s="381"/>
      <c r="K50" s="381"/>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21</v>
      </c>
      <c r="D52" s="354"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2"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2" t="s">
        <v>567</v>
      </c>
      <c r="K54" s="312"/>
      <c r="L54" s="312"/>
      <c r="M54" s="312"/>
      <c r="N54" s="312"/>
      <c r="O54" s="186"/>
      <c r="P54" s="54" t="s">
        <v>2569</v>
      </c>
      <c r="Q54" s="54">
        <f>C44/10</f>
        <v>0.7</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16</v>
      </c>
      <c r="D56" s="270" t="s">
        <v>2898</v>
      </c>
      <c r="E56" s="383"/>
      <c r="F56" s="44">
        <v>5</v>
      </c>
      <c r="G56" s="270" t="s">
        <v>2899</v>
      </c>
      <c r="H56" s="271"/>
      <c r="I56" s="226" t="s">
        <v>2138</v>
      </c>
      <c r="J56" s="360"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16</v>
      </c>
      <c r="D58" s="278" t="s">
        <v>2898</v>
      </c>
      <c r="E58" s="278"/>
      <c r="F58" s="44">
        <v>5</v>
      </c>
      <c r="G58" s="278" t="s">
        <v>2899</v>
      </c>
      <c r="H58" s="278"/>
      <c r="I58" s="5" t="str">
        <f>IF(OR(NT_I!Q1&lt;&gt;0,NT_D!Q1&lt;&gt;0),"DA","NE")</f>
        <v>NE</v>
      </c>
      <c r="J58" s="352"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60"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61" t="s">
        <v>2116</v>
      </c>
      <c r="D64" s="298"/>
      <c r="E64" s="298"/>
      <c r="F64" s="298"/>
      <c r="G64" s="156"/>
      <c r="H64" s="156"/>
      <c r="I64" s="226" t="s">
        <v>2619</v>
      </c>
      <c r="J64" s="360"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2"/>
      <c r="C66" s="285"/>
      <c r="D66" s="285"/>
      <c r="E66" s="285"/>
      <c r="F66" s="285"/>
      <c r="G66" s="286"/>
      <c r="H66" s="191"/>
      <c r="I66" s="226" t="s">
        <v>2138</v>
      </c>
      <c r="J66" s="312" t="s">
        <v>166</v>
      </c>
      <c r="K66" s="312"/>
      <c r="L66" s="312"/>
      <c r="M66" s="312"/>
      <c r="N66" s="312"/>
      <c r="O66" s="186"/>
    </row>
    <row r="67" spans="3:15" ht="10.5" customHeight="1">
      <c r="C67" s="372"/>
      <c r="D67" s="370"/>
      <c r="E67" s="370"/>
      <c r="F67" s="370"/>
      <c r="G67" s="370"/>
      <c r="H67" s="371"/>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70"/>
      <c r="E69" s="370"/>
      <c r="F69" s="370"/>
      <c r="G69" s="370"/>
      <c r="H69" s="371"/>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9" t="s">
        <v>1308</v>
      </c>
      <c r="D71" s="298"/>
      <c r="E71" s="298"/>
      <c r="F71" s="298"/>
      <c r="G71" s="298"/>
      <c r="H71" s="298"/>
      <c r="I71" s="156"/>
      <c r="J71" s="156"/>
      <c r="K71" s="156"/>
      <c r="L71" s="156"/>
      <c r="M71" s="156"/>
      <c r="N71" s="60"/>
    </row>
    <row r="72" spans="1:14" ht="15" customHeight="1">
      <c r="A72" s="272" t="s">
        <v>1262</v>
      </c>
      <c r="B72" s="305"/>
      <c r="C72" s="365"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3">
        <f>IF(ISERROR(Kont!J4),"Postoje neke pogreške u Excel datoteci, takva neće moći biti učitana!!!",IF(Kont!J4&gt;0,"Obrazac još uvijek sadrži neke pogreške! Ako ste završili s popunjavanjem, provjerite radni list Kont. Broj pogreški: "&amp;Kont!J4,""))</f>
      </c>
      <c r="B78" s="364"/>
      <c r="C78" s="364"/>
      <c r="D78" s="364"/>
      <c r="E78" s="364"/>
      <c r="F78" s="364"/>
      <c r="G78" s="364"/>
      <c r="H78" s="364"/>
      <c r="I78" s="364"/>
      <c r="J78" s="364"/>
      <c r="K78" s="364"/>
      <c r="L78" s="364"/>
      <c r="M78" s="364"/>
      <c r="N78" s="36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45" operator="equal" stopIfTrue="1">
      <formula>"DA"</formula>
    </cfRule>
  </conditionalFormatting>
  <conditionalFormatting sqref="F4:G4">
    <cfRule type="cellIs" priority="2" dxfId="42" operator="lessThan" stopIfTrue="1">
      <formula>$C$4</formula>
    </cfRule>
  </conditionalFormatting>
  <conditionalFormatting sqref="D44:N44">
    <cfRule type="cellIs" priority="5" dxfId="34" operator="equal" stopIfTrue="1">
      <formula>"Upisana je nepostojeća ili neprepoznatljiva šifra statusa autonomnosti"</formula>
    </cfRule>
  </conditionalFormatting>
  <conditionalFormatting sqref="N25 D17:N18 D26:N26">
    <cfRule type="cellIs" priority="6" dxfId="34" operator="equal" stopIfTrue="1">
      <formula>"Upisana je nepostojeća ili neprepoznatljiva vrsta izvještaja"</formula>
    </cfRule>
  </conditionalFormatting>
  <conditionalFormatting sqref="C20 D19 I20">
    <cfRule type="cellIs" priority="7" dxfId="34" operator="equal" stopIfTrue="1">
      <formula>"Nepostojeća ili neprepoznatljiva svrha predaje"</formula>
    </cfRule>
  </conditionalFormatting>
  <conditionalFormatting sqref="D42:N42">
    <cfRule type="cellIs" priority="8" dxfId="34" operator="equal" stopIfTrue="1">
      <formula>"Šifra NKD-a ne postoji"</formula>
    </cfRule>
  </conditionalFormatting>
  <conditionalFormatting sqref="E51:G51 D50:D51">
    <cfRule type="cellIs" priority="9" dxfId="34" operator="equal" stopIfTrue="1">
      <formula>"Nepostojeća oznaka veličine"</formula>
    </cfRule>
  </conditionalFormatting>
  <conditionalFormatting sqref="D52:H52">
    <cfRule type="cellIs" priority="10" dxfId="34" operator="equal" stopIfTrue="1">
      <formula>"Nepostojeća oznaka vlasništva"</formula>
    </cfRule>
  </conditionalFormatting>
  <conditionalFormatting sqref="D7:N7">
    <cfRule type="cellIs" priority="11" dxfId="34" operator="equal" stopIfTrue="1">
      <formula>"Upisana je nepostojeća ili neprepoznatljiva vrsta poslovnog subjekta"</formula>
    </cfRule>
  </conditionalFormatting>
  <conditionalFormatting sqref="D39:G39">
    <cfRule type="cellIs" priority="12" dxfId="34"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2"/>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3" activePane="bottomLeft" state="frozen"/>
      <selection pane="topLeft" activeCell="A1" sqref="A1"/>
      <selection pane="bottomLeft" activeCell="J9" sqref="J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3" t="s">
        <v>138</v>
      </c>
      <c r="B2" s="394"/>
      <c r="C2" s="394"/>
      <c r="D2" s="394"/>
      <c r="E2" s="394"/>
      <c r="F2" s="394"/>
      <c r="G2" s="394"/>
      <c r="H2" s="394"/>
      <c r="I2" s="395"/>
      <c r="J2" s="391" t="s">
        <v>2590</v>
      </c>
      <c r="Q2" s="74">
        <f>IF(OR(MIN(I9:I133)&lt;0,MAX(I9:I133)&gt;0),1,0)</f>
        <v>1</v>
      </c>
      <c r="R2" s="73" t="s">
        <v>2586</v>
      </c>
    </row>
    <row r="3" spans="1:18" ht="19.5" customHeight="1" thickBot="1">
      <c r="A3" s="396" t="str">
        <f>"stanje na dan "&amp;IF(RefStr!F4&lt;&gt;"",TEXT(RefStr!F4,"DD.MM.YYYY."),"__.__.____.")</f>
        <v>stanje na dan 31.12.2019.</v>
      </c>
      <c r="B3" s="397"/>
      <c r="C3" s="397"/>
      <c r="D3" s="397"/>
      <c r="E3" s="397"/>
      <c r="F3" s="397"/>
      <c r="G3" s="397"/>
      <c r="H3" s="397"/>
      <c r="I3" s="398"/>
      <c r="J3" s="392"/>
      <c r="Q3" s="74">
        <f>IF(OR(MIN(J9:J133)&lt;0,MAX(J9:J133)&gt;0),1,0)</f>
        <v>1</v>
      </c>
      <c r="R3" s="73" t="s">
        <v>2587</v>
      </c>
    </row>
    <row r="4" spans="1:10" ht="4.5" customHeight="1">
      <c r="A4" s="244"/>
      <c r="B4" s="76"/>
      <c r="C4" s="76"/>
      <c r="D4" s="76"/>
      <c r="E4" s="76"/>
      <c r="F4" s="76"/>
      <c r="G4" s="76"/>
      <c r="H4" s="76"/>
      <c r="I4" s="76"/>
      <c r="J4" s="75"/>
    </row>
    <row r="5" spans="1:18" ht="15" customHeight="1">
      <c r="A5" s="399" t="str">
        <f>"Obveznik: "&amp;IF(RefStr!C27&lt;&gt;"",RefStr!C27,"________")&amp;"; "&amp;IF(RefStr!C29&lt;&gt;"",RefStr!C29,"________________________________________________________"&amp;"; "&amp;IF(RefStr!F31&lt;&gt;"",RefStr!F31,"_______________"))</f>
        <v>Obveznik: 07538718933; ISTRA d.d.</v>
      </c>
      <c r="B5" s="400"/>
      <c r="C5" s="400"/>
      <c r="D5" s="400"/>
      <c r="E5" s="400"/>
      <c r="F5" s="400"/>
      <c r="G5" s="400"/>
      <c r="H5" s="400"/>
      <c r="I5" s="400"/>
      <c r="J5" s="401"/>
      <c r="Q5" s="2">
        <f>IF(I96&lt;&gt;0,1,0)</f>
        <v>0</v>
      </c>
      <c r="R5" s="73" t="s">
        <v>2588</v>
      </c>
    </row>
    <row r="6" spans="1:18" ht="24.75" customHeight="1" thickBot="1">
      <c r="A6" s="402" t="s">
        <v>719</v>
      </c>
      <c r="B6" s="403"/>
      <c r="C6" s="403"/>
      <c r="D6" s="403"/>
      <c r="E6" s="403"/>
      <c r="F6" s="403"/>
      <c r="G6" s="102" t="s">
        <v>799</v>
      </c>
      <c r="H6" s="102" t="s">
        <v>1968</v>
      </c>
      <c r="I6" s="102" t="s">
        <v>2292</v>
      </c>
      <c r="J6" s="103" t="s">
        <v>2293</v>
      </c>
      <c r="Q6" s="2">
        <f>IF(J96&lt;&gt;0,1,0)</f>
        <v>0</v>
      </c>
      <c r="R6" s="73" t="s">
        <v>2589</v>
      </c>
    </row>
    <row r="7" spans="1:10" ht="13.5" customHeight="1">
      <c r="A7" s="404">
        <v>1</v>
      </c>
      <c r="B7" s="405"/>
      <c r="C7" s="405"/>
      <c r="D7" s="405"/>
      <c r="E7" s="405"/>
      <c r="F7" s="405"/>
      <c r="G7" s="105">
        <v>2</v>
      </c>
      <c r="H7" s="105">
        <v>3</v>
      </c>
      <c r="I7" s="104">
        <v>4</v>
      </c>
      <c r="J7" s="106">
        <v>5</v>
      </c>
    </row>
    <row r="8" spans="1:10" ht="13.5" customHeight="1">
      <c r="A8" s="388" t="s">
        <v>721</v>
      </c>
      <c r="B8" s="390"/>
      <c r="C8" s="390"/>
      <c r="D8" s="390"/>
      <c r="E8" s="390"/>
      <c r="F8" s="390"/>
      <c r="G8" s="390"/>
      <c r="H8" s="390"/>
      <c r="I8" s="390"/>
      <c r="J8" s="390"/>
    </row>
    <row r="9" spans="1:15" ht="13.5" customHeight="1">
      <c r="A9" s="384" t="s">
        <v>722</v>
      </c>
      <c r="B9" s="384"/>
      <c r="C9" s="384"/>
      <c r="D9" s="384"/>
      <c r="E9" s="384"/>
      <c r="F9" s="384"/>
      <c r="G9" s="19">
        <v>1</v>
      </c>
      <c r="H9" s="20" t="s">
        <v>1813</v>
      </c>
      <c r="I9" s="71">
        <v>0</v>
      </c>
      <c r="J9" s="71">
        <v>0</v>
      </c>
      <c r="O9" s="74"/>
    </row>
    <row r="10" spans="1:10" ht="13.5" customHeight="1">
      <c r="A10" s="384" t="s">
        <v>1849</v>
      </c>
      <c r="B10" s="384"/>
      <c r="C10" s="384"/>
      <c r="D10" s="384"/>
      <c r="E10" s="384"/>
      <c r="F10" s="384"/>
      <c r="G10" s="19">
        <v>2</v>
      </c>
      <c r="H10" s="20" t="s">
        <v>1813</v>
      </c>
      <c r="I10" s="70">
        <f>I11+I18+I28+I39+I44</f>
        <v>111662017</v>
      </c>
      <c r="J10" s="70">
        <f>J11+J18+J28+J39+J44</f>
        <v>40678439</v>
      </c>
    </row>
    <row r="11" spans="1:10" ht="13.5" customHeight="1">
      <c r="A11" s="387" t="s">
        <v>1850</v>
      </c>
      <c r="B11" s="387"/>
      <c r="C11" s="387"/>
      <c r="D11" s="387"/>
      <c r="E11" s="387"/>
      <c r="F11" s="387"/>
      <c r="G11" s="19">
        <v>3</v>
      </c>
      <c r="H11" s="20" t="s">
        <v>1813</v>
      </c>
      <c r="I11" s="70">
        <f>SUM(I12:I17)</f>
        <v>503468</v>
      </c>
      <c r="J11" s="70">
        <f>SUM(J12:J17)</f>
        <v>6468</v>
      </c>
    </row>
    <row r="12" spans="1:10" ht="13.5" customHeight="1">
      <c r="A12" s="386" t="s">
        <v>965</v>
      </c>
      <c r="B12" s="386"/>
      <c r="C12" s="386"/>
      <c r="D12" s="386"/>
      <c r="E12" s="386"/>
      <c r="F12" s="386"/>
      <c r="G12" s="19">
        <v>4</v>
      </c>
      <c r="H12" s="20" t="s">
        <v>1813</v>
      </c>
      <c r="I12" s="71">
        <v>0</v>
      </c>
      <c r="J12" s="71">
        <v>0</v>
      </c>
    </row>
    <row r="13" spans="1:10" ht="24.75" customHeight="1">
      <c r="A13" s="386" t="s">
        <v>1810</v>
      </c>
      <c r="B13" s="386"/>
      <c r="C13" s="386"/>
      <c r="D13" s="386"/>
      <c r="E13" s="386"/>
      <c r="F13" s="386"/>
      <c r="G13" s="19">
        <v>5</v>
      </c>
      <c r="H13" s="20" t="s">
        <v>1813</v>
      </c>
      <c r="I13" s="71">
        <v>0</v>
      </c>
      <c r="J13" s="71">
        <v>0</v>
      </c>
    </row>
    <row r="14" spans="1:10" ht="13.5" customHeight="1">
      <c r="A14" s="386" t="s">
        <v>966</v>
      </c>
      <c r="B14" s="386"/>
      <c r="C14" s="386"/>
      <c r="D14" s="386"/>
      <c r="E14" s="386"/>
      <c r="F14" s="386"/>
      <c r="G14" s="19">
        <v>6</v>
      </c>
      <c r="H14" s="20" t="s">
        <v>1813</v>
      </c>
      <c r="I14" s="71">
        <v>0</v>
      </c>
      <c r="J14" s="71">
        <v>0</v>
      </c>
    </row>
    <row r="15" spans="1:10" ht="13.5" customHeight="1">
      <c r="A15" s="386" t="s">
        <v>967</v>
      </c>
      <c r="B15" s="386"/>
      <c r="C15" s="386"/>
      <c r="D15" s="386"/>
      <c r="E15" s="386"/>
      <c r="F15" s="386"/>
      <c r="G15" s="19">
        <v>7</v>
      </c>
      <c r="H15" s="20" t="s">
        <v>1813</v>
      </c>
      <c r="I15" s="71">
        <v>0</v>
      </c>
      <c r="J15" s="71">
        <v>0</v>
      </c>
    </row>
    <row r="16" spans="1:10" ht="13.5" customHeight="1">
      <c r="A16" s="386" t="s">
        <v>968</v>
      </c>
      <c r="B16" s="386"/>
      <c r="C16" s="386"/>
      <c r="D16" s="386"/>
      <c r="E16" s="386"/>
      <c r="F16" s="386"/>
      <c r="G16" s="19">
        <v>8</v>
      </c>
      <c r="H16" s="20" t="s">
        <v>1813</v>
      </c>
      <c r="I16" s="71">
        <v>0</v>
      </c>
      <c r="J16" s="71">
        <v>0</v>
      </c>
    </row>
    <row r="17" spans="1:10" ht="13.5" customHeight="1">
      <c r="A17" s="386" t="s">
        <v>969</v>
      </c>
      <c r="B17" s="386"/>
      <c r="C17" s="386"/>
      <c r="D17" s="386"/>
      <c r="E17" s="386"/>
      <c r="F17" s="386"/>
      <c r="G17" s="19">
        <v>9</v>
      </c>
      <c r="H17" s="20" t="s">
        <v>1813</v>
      </c>
      <c r="I17" s="71">
        <v>503468</v>
      </c>
      <c r="J17" s="71">
        <v>6468</v>
      </c>
    </row>
    <row r="18" spans="1:10" ht="13.5" customHeight="1">
      <c r="A18" s="387" t="s">
        <v>731</v>
      </c>
      <c r="B18" s="387"/>
      <c r="C18" s="387"/>
      <c r="D18" s="387"/>
      <c r="E18" s="387"/>
      <c r="F18" s="387"/>
      <c r="G18" s="19">
        <v>10</v>
      </c>
      <c r="H18" s="20" t="s">
        <v>1813</v>
      </c>
      <c r="I18" s="70">
        <f>SUM(I19:I27)</f>
        <v>109623221</v>
      </c>
      <c r="J18" s="70">
        <f>SUM(J19:J27)</f>
        <v>40204013</v>
      </c>
    </row>
    <row r="19" spans="1:10" ht="13.5" customHeight="1">
      <c r="A19" s="386" t="s">
        <v>2176</v>
      </c>
      <c r="B19" s="386"/>
      <c r="C19" s="386"/>
      <c r="D19" s="386"/>
      <c r="E19" s="386"/>
      <c r="F19" s="386"/>
      <c r="G19" s="19">
        <v>11</v>
      </c>
      <c r="H19" s="20" t="s">
        <v>1813</v>
      </c>
      <c r="I19" s="71">
        <v>4140877</v>
      </c>
      <c r="J19" s="71">
        <v>298236</v>
      </c>
    </row>
    <row r="20" spans="1:10" ht="13.5" customHeight="1">
      <c r="A20" s="386" t="s">
        <v>543</v>
      </c>
      <c r="B20" s="386"/>
      <c r="C20" s="386"/>
      <c r="D20" s="386"/>
      <c r="E20" s="386"/>
      <c r="F20" s="386"/>
      <c r="G20" s="19">
        <v>12</v>
      </c>
      <c r="H20" s="20" t="s">
        <v>1813</v>
      </c>
      <c r="I20" s="71">
        <v>103137820</v>
      </c>
      <c r="J20" s="71">
        <v>38380480</v>
      </c>
    </row>
    <row r="21" spans="1:10" ht="13.5" customHeight="1">
      <c r="A21" s="386" t="s">
        <v>2177</v>
      </c>
      <c r="B21" s="386"/>
      <c r="C21" s="386"/>
      <c r="D21" s="386"/>
      <c r="E21" s="386"/>
      <c r="F21" s="386"/>
      <c r="G21" s="19">
        <v>13</v>
      </c>
      <c r="H21" s="20" t="s">
        <v>1813</v>
      </c>
      <c r="I21" s="71">
        <v>2111782</v>
      </c>
      <c r="J21" s="71">
        <v>1516028</v>
      </c>
    </row>
    <row r="22" spans="1:10" ht="13.5" customHeight="1">
      <c r="A22" s="386" t="s">
        <v>2290</v>
      </c>
      <c r="B22" s="386"/>
      <c r="C22" s="386"/>
      <c r="D22" s="386"/>
      <c r="E22" s="386"/>
      <c r="F22" s="386"/>
      <c r="G22" s="19">
        <v>14</v>
      </c>
      <c r="H22" s="20" t="s">
        <v>1813</v>
      </c>
      <c r="I22" s="71">
        <v>4992</v>
      </c>
      <c r="J22" s="71">
        <v>9269</v>
      </c>
    </row>
    <row r="23" spans="1:10" ht="13.5" customHeight="1">
      <c r="A23" s="386" t="s">
        <v>2291</v>
      </c>
      <c r="B23" s="386"/>
      <c r="C23" s="386"/>
      <c r="D23" s="386"/>
      <c r="E23" s="386"/>
      <c r="F23" s="386"/>
      <c r="G23" s="19">
        <v>15</v>
      </c>
      <c r="H23" s="20" t="s">
        <v>1813</v>
      </c>
      <c r="I23" s="71">
        <v>0</v>
      </c>
      <c r="J23" s="71">
        <v>0</v>
      </c>
    </row>
    <row r="24" spans="1:10" ht="13.5" customHeight="1">
      <c r="A24" s="386" t="s">
        <v>1082</v>
      </c>
      <c r="B24" s="386"/>
      <c r="C24" s="386"/>
      <c r="D24" s="386"/>
      <c r="E24" s="386"/>
      <c r="F24" s="386"/>
      <c r="G24" s="19">
        <v>16</v>
      </c>
      <c r="H24" s="20" t="s">
        <v>1813</v>
      </c>
      <c r="I24" s="71">
        <v>0</v>
      </c>
      <c r="J24" s="71">
        <v>0</v>
      </c>
    </row>
    <row r="25" spans="1:10" ht="13.5" customHeight="1">
      <c r="A25" s="386" t="s">
        <v>1083</v>
      </c>
      <c r="B25" s="386"/>
      <c r="C25" s="386"/>
      <c r="D25" s="386"/>
      <c r="E25" s="386"/>
      <c r="F25" s="386"/>
      <c r="G25" s="19">
        <v>17</v>
      </c>
      <c r="H25" s="20" t="s">
        <v>1813</v>
      </c>
      <c r="I25" s="71">
        <v>227750</v>
      </c>
      <c r="J25" s="71">
        <v>0</v>
      </c>
    </row>
    <row r="26" spans="1:10" ht="13.5" customHeight="1">
      <c r="A26" s="386" t="s">
        <v>1084</v>
      </c>
      <c r="B26" s="386"/>
      <c r="C26" s="386"/>
      <c r="D26" s="386"/>
      <c r="E26" s="386"/>
      <c r="F26" s="386"/>
      <c r="G26" s="19">
        <v>18</v>
      </c>
      <c r="H26" s="20" t="s">
        <v>1813</v>
      </c>
      <c r="I26" s="71">
        <v>0</v>
      </c>
      <c r="J26" s="71">
        <v>0</v>
      </c>
    </row>
    <row r="27" spans="1:10" ht="13.5" customHeight="1">
      <c r="A27" s="386" t="s">
        <v>1085</v>
      </c>
      <c r="B27" s="386"/>
      <c r="C27" s="386"/>
      <c r="D27" s="386"/>
      <c r="E27" s="386"/>
      <c r="F27" s="386"/>
      <c r="G27" s="19">
        <v>19</v>
      </c>
      <c r="H27" s="20" t="s">
        <v>1813</v>
      </c>
      <c r="I27" s="71">
        <v>0</v>
      </c>
      <c r="J27" s="71">
        <v>0</v>
      </c>
    </row>
    <row r="28" spans="1:10" ht="13.5" customHeight="1">
      <c r="A28" s="387" t="s">
        <v>2644</v>
      </c>
      <c r="B28" s="387"/>
      <c r="C28" s="387"/>
      <c r="D28" s="387"/>
      <c r="E28" s="387"/>
      <c r="F28" s="387"/>
      <c r="G28" s="19">
        <v>20</v>
      </c>
      <c r="H28" s="20" t="s">
        <v>1813</v>
      </c>
      <c r="I28" s="70">
        <f>SUM(I29:I38)</f>
        <v>20000</v>
      </c>
      <c r="J28" s="70">
        <f>SUM(J29:J38)</f>
        <v>0</v>
      </c>
    </row>
    <row r="29" spans="1:10" ht="13.5" customHeight="1">
      <c r="A29" s="386" t="s">
        <v>399</v>
      </c>
      <c r="B29" s="386"/>
      <c r="C29" s="386"/>
      <c r="D29" s="386"/>
      <c r="E29" s="386"/>
      <c r="F29" s="386"/>
      <c r="G29" s="19">
        <v>21</v>
      </c>
      <c r="H29" s="20" t="s">
        <v>1813</v>
      </c>
      <c r="I29" s="71">
        <v>20000</v>
      </c>
      <c r="J29" s="71">
        <v>0</v>
      </c>
    </row>
    <row r="30" spans="1:10" ht="13.5" customHeight="1">
      <c r="A30" s="386" t="s">
        <v>400</v>
      </c>
      <c r="B30" s="386"/>
      <c r="C30" s="386"/>
      <c r="D30" s="386"/>
      <c r="E30" s="386"/>
      <c r="F30" s="386"/>
      <c r="G30" s="19">
        <v>22</v>
      </c>
      <c r="H30" s="20" t="s">
        <v>1813</v>
      </c>
      <c r="I30" s="71">
        <v>0</v>
      </c>
      <c r="J30" s="71">
        <v>0</v>
      </c>
    </row>
    <row r="31" spans="1:10" ht="13.5" customHeight="1">
      <c r="A31" s="386" t="s">
        <v>401</v>
      </c>
      <c r="B31" s="386"/>
      <c r="C31" s="386"/>
      <c r="D31" s="386"/>
      <c r="E31" s="386"/>
      <c r="F31" s="386"/>
      <c r="G31" s="19">
        <v>23</v>
      </c>
      <c r="H31" s="20" t="s">
        <v>1813</v>
      </c>
      <c r="I31" s="71">
        <v>0</v>
      </c>
      <c r="J31" s="71">
        <v>0</v>
      </c>
    </row>
    <row r="32" spans="1:10" ht="24.75" customHeight="1">
      <c r="A32" s="386" t="s">
        <v>1811</v>
      </c>
      <c r="B32" s="386"/>
      <c r="C32" s="386"/>
      <c r="D32" s="386"/>
      <c r="E32" s="386"/>
      <c r="F32" s="386"/>
      <c r="G32" s="19">
        <v>24</v>
      </c>
      <c r="H32" s="20" t="s">
        <v>1813</v>
      </c>
      <c r="I32" s="71">
        <v>0</v>
      </c>
      <c r="J32" s="71">
        <v>0</v>
      </c>
    </row>
    <row r="33" spans="1:10" ht="24.75" customHeight="1">
      <c r="A33" s="386" t="s">
        <v>1812</v>
      </c>
      <c r="B33" s="386"/>
      <c r="C33" s="386"/>
      <c r="D33" s="386"/>
      <c r="E33" s="386"/>
      <c r="F33" s="386"/>
      <c r="G33" s="19">
        <v>25</v>
      </c>
      <c r="H33" s="20" t="s">
        <v>1813</v>
      </c>
      <c r="I33" s="71">
        <v>0</v>
      </c>
      <c r="J33" s="71">
        <v>0</v>
      </c>
    </row>
    <row r="34" spans="1:10" ht="24.75" customHeight="1">
      <c r="A34" s="386" t="s">
        <v>2120</v>
      </c>
      <c r="B34" s="386"/>
      <c r="C34" s="386"/>
      <c r="D34" s="386"/>
      <c r="E34" s="386"/>
      <c r="F34" s="386"/>
      <c r="G34" s="19">
        <v>26</v>
      </c>
      <c r="H34" s="20" t="s">
        <v>1813</v>
      </c>
      <c r="I34" s="71">
        <v>0</v>
      </c>
      <c r="J34" s="71">
        <v>0</v>
      </c>
    </row>
    <row r="35" spans="1:10" ht="13.5" customHeight="1">
      <c r="A35" s="386" t="s">
        <v>402</v>
      </c>
      <c r="B35" s="386"/>
      <c r="C35" s="386"/>
      <c r="D35" s="386"/>
      <c r="E35" s="386"/>
      <c r="F35" s="386"/>
      <c r="G35" s="19">
        <v>27</v>
      </c>
      <c r="H35" s="20" t="s">
        <v>1813</v>
      </c>
      <c r="I35" s="71">
        <v>0</v>
      </c>
      <c r="J35" s="71">
        <v>0</v>
      </c>
    </row>
    <row r="36" spans="1:10" ht="13.5" customHeight="1">
      <c r="A36" s="386" t="s">
        <v>403</v>
      </c>
      <c r="B36" s="386"/>
      <c r="C36" s="386"/>
      <c r="D36" s="386"/>
      <c r="E36" s="386"/>
      <c r="F36" s="386"/>
      <c r="G36" s="19">
        <v>28</v>
      </c>
      <c r="H36" s="20" t="s">
        <v>1813</v>
      </c>
      <c r="I36" s="71">
        <v>0</v>
      </c>
      <c r="J36" s="71">
        <v>0</v>
      </c>
    </row>
    <row r="37" spans="1:10" ht="13.5" customHeight="1">
      <c r="A37" s="386" t="s">
        <v>1033</v>
      </c>
      <c r="B37" s="386"/>
      <c r="C37" s="386"/>
      <c r="D37" s="386"/>
      <c r="E37" s="386"/>
      <c r="F37" s="386"/>
      <c r="G37" s="19">
        <v>29</v>
      </c>
      <c r="H37" s="20" t="s">
        <v>1813</v>
      </c>
      <c r="I37" s="71">
        <v>0</v>
      </c>
      <c r="J37" s="71">
        <v>0</v>
      </c>
    </row>
    <row r="38" spans="1:10" ht="13.5" customHeight="1">
      <c r="A38" s="386" t="s">
        <v>1034</v>
      </c>
      <c r="B38" s="386"/>
      <c r="C38" s="386"/>
      <c r="D38" s="386"/>
      <c r="E38" s="386"/>
      <c r="F38" s="386"/>
      <c r="G38" s="19">
        <v>30</v>
      </c>
      <c r="H38" s="20" t="s">
        <v>1813</v>
      </c>
      <c r="I38" s="71">
        <v>0</v>
      </c>
      <c r="J38" s="71">
        <v>0</v>
      </c>
    </row>
    <row r="39" spans="1:10" ht="13.5" customHeight="1">
      <c r="A39" s="387" t="s">
        <v>2645</v>
      </c>
      <c r="B39" s="387"/>
      <c r="C39" s="387"/>
      <c r="D39" s="387"/>
      <c r="E39" s="387"/>
      <c r="F39" s="387"/>
      <c r="G39" s="19">
        <v>31</v>
      </c>
      <c r="H39" s="20" t="s">
        <v>1813</v>
      </c>
      <c r="I39" s="70">
        <f>SUM(I40:I43)</f>
        <v>854887</v>
      </c>
      <c r="J39" s="70">
        <f>SUM(J40:J43)</f>
        <v>467958</v>
      </c>
    </row>
    <row r="40" spans="1:10" ht="13.5" customHeight="1">
      <c r="A40" s="386" t="s">
        <v>1035</v>
      </c>
      <c r="B40" s="386"/>
      <c r="C40" s="386"/>
      <c r="D40" s="386"/>
      <c r="E40" s="386"/>
      <c r="F40" s="386"/>
      <c r="G40" s="19">
        <v>32</v>
      </c>
      <c r="H40" s="20" t="s">
        <v>1813</v>
      </c>
      <c r="I40" s="71">
        <v>0</v>
      </c>
      <c r="J40" s="71">
        <v>0</v>
      </c>
    </row>
    <row r="41" spans="1:10" ht="13.5" customHeight="1">
      <c r="A41" s="386" t="s">
        <v>1036</v>
      </c>
      <c r="B41" s="386"/>
      <c r="C41" s="386"/>
      <c r="D41" s="386"/>
      <c r="E41" s="386"/>
      <c r="F41" s="386"/>
      <c r="G41" s="19">
        <v>33</v>
      </c>
      <c r="H41" s="20" t="s">
        <v>1813</v>
      </c>
      <c r="I41" s="71">
        <v>0</v>
      </c>
      <c r="J41" s="71">
        <v>0</v>
      </c>
    </row>
    <row r="42" spans="1:10" ht="13.5" customHeight="1">
      <c r="A42" s="386" t="s">
        <v>964</v>
      </c>
      <c r="B42" s="386"/>
      <c r="C42" s="386"/>
      <c r="D42" s="386"/>
      <c r="E42" s="386"/>
      <c r="F42" s="386"/>
      <c r="G42" s="19">
        <v>34</v>
      </c>
      <c r="H42" s="20" t="s">
        <v>1813</v>
      </c>
      <c r="I42" s="71">
        <v>261177</v>
      </c>
      <c r="J42" s="71">
        <v>0</v>
      </c>
    </row>
    <row r="43" spans="1:10" ht="13.5" customHeight="1">
      <c r="A43" s="386" t="s">
        <v>1037</v>
      </c>
      <c r="B43" s="386"/>
      <c r="C43" s="386"/>
      <c r="D43" s="386"/>
      <c r="E43" s="386"/>
      <c r="F43" s="386"/>
      <c r="G43" s="19">
        <v>35</v>
      </c>
      <c r="H43" s="20" t="s">
        <v>1813</v>
      </c>
      <c r="I43" s="71">
        <v>593710</v>
      </c>
      <c r="J43" s="71">
        <v>467958</v>
      </c>
    </row>
    <row r="44" spans="1:10" ht="13.5" customHeight="1">
      <c r="A44" s="387" t="s">
        <v>655</v>
      </c>
      <c r="B44" s="387"/>
      <c r="C44" s="387"/>
      <c r="D44" s="387"/>
      <c r="E44" s="387"/>
      <c r="F44" s="387"/>
      <c r="G44" s="19">
        <v>36</v>
      </c>
      <c r="H44" s="20" t="s">
        <v>1813</v>
      </c>
      <c r="I44" s="71">
        <v>660441</v>
      </c>
      <c r="J44" s="71">
        <v>0</v>
      </c>
    </row>
    <row r="45" spans="1:10" ht="13.5" customHeight="1">
      <c r="A45" s="384" t="s">
        <v>2646</v>
      </c>
      <c r="B45" s="384"/>
      <c r="C45" s="384"/>
      <c r="D45" s="384"/>
      <c r="E45" s="384"/>
      <c r="F45" s="384"/>
      <c r="G45" s="19">
        <v>37</v>
      </c>
      <c r="H45" s="20" t="s">
        <v>1813</v>
      </c>
      <c r="I45" s="70">
        <f>I46+I54+I61+I71</f>
        <v>58355711</v>
      </c>
      <c r="J45" s="70">
        <f>J46+J54+J61+J71</f>
        <v>61972942</v>
      </c>
    </row>
    <row r="46" spans="1:10" ht="13.5" customHeight="1">
      <c r="A46" s="387" t="s">
        <v>2647</v>
      </c>
      <c r="B46" s="387"/>
      <c r="C46" s="387"/>
      <c r="D46" s="387"/>
      <c r="E46" s="387"/>
      <c r="F46" s="387"/>
      <c r="G46" s="19">
        <v>38</v>
      </c>
      <c r="H46" s="20" t="s">
        <v>1813</v>
      </c>
      <c r="I46" s="70">
        <f>SUM(I47:I53)</f>
        <v>482639</v>
      </c>
      <c r="J46" s="70">
        <f>SUM(J47:J53)</f>
        <v>466877</v>
      </c>
    </row>
    <row r="47" spans="1:10" ht="13.5" customHeight="1">
      <c r="A47" s="386" t="s">
        <v>970</v>
      </c>
      <c r="B47" s="386"/>
      <c r="C47" s="386"/>
      <c r="D47" s="386"/>
      <c r="E47" s="386"/>
      <c r="F47" s="386"/>
      <c r="G47" s="19">
        <v>39</v>
      </c>
      <c r="H47" s="20" t="s">
        <v>1813</v>
      </c>
      <c r="I47" s="71">
        <v>384084</v>
      </c>
      <c r="J47" s="71">
        <v>368322</v>
      </c>
    </row>
    <row r="48" spans="1:10" ht="13.5" customHeight="1">
      <c r="A48" s="386" t="s">
        <v>971</v>
      </c>
      <c r="B48" s="386"/>
      <c r="C48" s="386"/>
      <c r="D48" s="386"/>
      <c r="E48" s="386"/>
      <c r="F48" s="386"/>
      <c r="G48" s="19">
        <v>40</v>
      </c>
      <c r="H48" s="20" t="s">
        <v>1813</v>
      </c>
      <c r="I48" s="71">
        <v>0</v>
      </c>
      <c r="J48" s="71">
        <v>0</v>
      </c>
    </row>
    <row r="49" spans="1:10" ht="13.5" customHeight="1">
      <c r="A49" s="386" t="s">
        <v>972</v>
      </c>
      <c r="B49" s="386"/>
      <c r="C49" s="386"/>
      <c r="D49" s="386"/>
      <c r="E49" s="386"/>
      <c r="F49" s="386"/>
      <c r="G49" s="19">
        <v>41</v>
      </c>
      <c r="H49" s="20" t="s">
        <v>1813</v>
      </c>
      <c r="I49" s="71">
        <v>0</v>
      </c>
      <c r="J49" s="71">
        <v>0</v>
      </c>
    </row>
    <row r="50" spans="1:10" ht="13.5" customHeight="1">
      <c r="A50" s="386" t="s">
        <v>973</v>
      </c>
      <c r="B50" s="386"/>
      <c r="C50" s="386"/>
      <c r="D50" s="386"/>
      <c r="E50" s="386"/>
      <c r="F50" s="386"/>
      <c r="G50" s="19">
        <v>42</v>
      </c>
      <c r="H50" s="20" t="s">
        <v>1813</v>
      </c>
      <c r="I50" s="71">
        <v>98555</v>
      </c>
      <c r="J50" s="71">
        <v>98555</v>
      </c>
    </row>
    <row r="51" spans="1:10" ht="13.5" customHeight="1">
      <c r="A51" s="386" t="s">
        <v>974</v>
      </c>
      <c r="B51" s="386"/>
      <c r="C51" s="386"/>
      <c r="D51" s="386"/>
      <c r="E51" s="386"/>
      <c r="F51" s="386"/>
      <c r="G51" s="19">
        <v>43</v>
      </c>
      <c r="H51" s="20" t="s">
        <v>1813</v>
      </c>
      <c r="I51" s="71">
        <v>0</v>
      </c>
      <c r="J51" s="71">
        <v>0</v>
      </c>
    </row>
    <row r="52" spans="1:10" ht="13.5" customHeight="1">
      <c r="A52" s="386" t="s">
        <v>975</v>
      </c>
      <c r="B52" s="386"/>
      <c r="C52" s="386"/>
      <c r="D52" s="386"/>
      <c r="E52" s="386"/>
      <c r="F52" s="386"/>
      <c r="G52" s="19">
        <v>44</v>
      </c>
      <c r="H52" s="20" t="s">
        <v>1813</v>
      </c>
      <c r="I52" s="71">
        <v>0</v>
      </c>
      <c r="J52" s="71">
        <v>0</v>
      </c>
    </row>
    <row r="53" spans="1:10" ht="13.5" customHeight="1">
      <c r="A53" s="386" t="s">
        <v>347</v>
      </c>
      <c r="B53" s="386"/>
      <c r="C53" s="386"/>
      <c r="D53" s="386"/>
      <c r="E53" s="386"/>
      <c r="F53" s="386"/>
      <c r="G53" s="19">
        <v>45</v>
      </c>
      <c r="H53" s="20" t="s">
        <v>1813</v>
      </c>
      <c r="I53" s="71">
        <v>0</v>
      </c>
      <c r="J53" s="71">
        <v>0</v>
      </c>
    </row>
    <row r="54" spans="1:10" ht="13.5" customHeight="1">
      <c r="A54" s="387" t="s">
        <v>2648</v>
      </c>
      <c r="B54" s="387"/>
      <c r="C54" s="387"/>
      <c r="D54" s="387"/>
      <c r="E54" s="387"/>
      <c r="F54" s="387"/>
      <c r="G54" s="19">
        <v>46</v>
      </c>
      <c r="H54" s="20" t="s">
        <v>1813</v>
      </c>
      <c r="I54" s="70">
        <f>SUM(I55:I60)</f>
        <v>55751380</v>
      </c>
      <c r="J54" s="70">
        <f>SUM(J55:J60)</f>
        <v>59470279</v>
      </c>
    </row>
    <row r="55" spans="1:10" ht="13.5" customHeight="1">
      <c r="A55" s="386" t="s">
        <v>348</v>
      </c>
      <c r="B55" s="386"/>
      <c r="C55" s="386"/>
      <c r="D55" s="386"/>
      <c r="E55" s="386"/>
      <c r="F55" s="386"/>
      <c r="G55" s="19">
        <v>47</v>
      </c>
      <c r="H55" s="20" t="s">
        <v>1813</v>
      </c>
      <c r="I55" s="71">
        <v>65599</v>
      </c>
      <c r="J55" s="71">
        <v>0</v>
      </c>
    </row>
    <row r="56" spans="1:10" ht="13.5" customHeight="1">
      <c r="A56" s="386" t="s">
        <v>349</v>
      </c>
      <c r="B56" s="386"/>
      <c r="C56" s="386"/>
      <c r="D56" s="386"/>
      <c r="E56" s="386"/>
      <c r="F56" s="386"/>
      <c r="G56" s="19">
        <v>48</v>
      </c>
      <c r="H56" s="20" t="s">
        <v>1813</v>
      </c>
      <c r="I56" s="71">
        <v>0</v>
      </c>
      <c r="J56" s="71">
        <v>0</v>
      </c>
    </row>
    <row r="57" spans="1:10" ht="13.5" customHeight="1">
      <c r="A57" s="386" t="s">
        <v>2636</v>
      </c>
      <c r="B57" s="386"/>
      <c r="C57" s="386"/>
      <c r="D57" s="386"/>
      <c r="E57" s="386"/>
      <c r="F57" s="386"/>
      <c r="G57" s="19">
        <v>49</v>
      </c>
      <c r="H57" s="20" t="s">
        <v>1813</v>
      </c>
      <c r="I57" s="71">
        <v>31810360</v>
      </c>
      <c r="J57" s="71">
        <v>35619526</v>
      </c>
    </row>
    <row r="58" spans="1:10" ht="13.5" customHeight="1">
      <c r="A58" s="386" t="s">
        <v>350</v>
      </c>
      <c r="B58" s="386"/>
      <c r="C58" s="386"/>
      <c r="D58" s="386"/>
      <c r="E58" s="386"/>
      <c r="F58" s="386"/>
      <c r="G58" s="19">
        <v>50</v>
      </c>
      <c r="H58" s="20" t="s">
        <v>1813</v>
      </c>
      <c r="I58" s="71">
        <v>4522</v>
      </c>
      <c r="J58" s="71">
        <v>4522</v>
      </c>
    </row>
    <row r="59" spans="1:10" ht="13.5" customHeight="1">
      <c r="A59" s="386" t="s">
        <v>351</v>
      </c>
      <c r="B59" s="386"/>
      <c r="C59" s="386"/>
      <c r="D59" s="386"/>
      <c r="E59" s="386"/>
      <c r="F59" s="386"/>
      <c r="G59" s="19">
        <v>51</v>
      </c>
      <c r="H59" s="20" t="s">
        <v>1813</v>
      </c>
      <c r="I59" s="71">
        <v>91094</v>
      </c>
      <c r="J59" s="71">
        <v>66426</v>
      </c>
    </row>
    <row r="60" spans="1:10" ht="13.5" customHeight="1">
      <c r="A60" s="386" t="s">
        <v>2638</v>
      </c>
      <c r="B60" s="386"/>
      <c r="C60" s="386"/>
      <c r="D60" s="386"/>
      <c r="E60" s="386"/>
      <c r="F60" s="386"/>
      <c r="G60" s="19">
        <v>52</v>
      </c>
      <c r="H60" s="20" t="s">
        <v>1813</v>
      </c>
      <c r="I60" s="71">
        <v>23779805</v>
      </c>
      <c r="J60" s="71">
        <v>23779805</v>
      </c>
    </row>
    <row r="61" spans="1:10" ht="13.5" customHeight="1">
      <c r="A61" s="387" t="s">
        <v>2649</v>
      </c>
      <c r="B61" s="387"/>
      <c r="C61" s="387"/>
      <c r="D61" s="387"/>
      <c r="E61" s="387"/>
      <c r="F61" s="387"/>
      <c r="G61" s="19">
        <v>53</v>
      </c>
      <c r="H61" s="20" t="s">
        <v>1813</v>
      </c>
      <c r="I61" s="70">
        <f>SUM(I62:I70)</f>
        <v>2094703</v>
      </c>
      <c r="J61" s="70">
        <f>SUM(J62:J70)</f>
        <v>2026348</v>
      </c>
    </row>
    <row r="62" spans="1:10" ht="13.5" customHeight="1">
      <c r="A62" s="386" t="s">
        <v>399</v>
      </c>
      <c r="B62" s="386"/>
      <c r="C62" s="386"/>
      <c r="D62" s="386"/>
      <c r="E62" s="386"/>
      <c r="F62" s="386"/>
      <c r="G62" s="19">
        <v>54</v>
      </c>
      <c r="H62" s="20" t="s">
        <v>1813</v>
      </c>
      <c r="I62" s="71">
        <v>0</v>
      </c>
      <c r="J62" s="71">
        <v>0</v>
      </c>
    </row>
    <row r="63" spans="1:10" ht="13.5" customHeight="1">
      <c r="A63" s="386" t="s">
        <v>400</v>
      </c>
      <c r="B63" s="386"/>
      <c r="C63" s="386"/>
      <c r="D63" s="386"/>
      <c r="E63" s="386"/>
      <c r="F63" s="386"/>
      <c r="G63" s="19">
        <v>55</v>
      </c>
      <c r="H63" s="20" t="s">
        <v>1813</v>
      </c>
      <c r="I63" s="71">
        <v>0</v>
      </c>
      <c r="J63" s="71">
        <v>0</v>
      </c>
    </row>
    <row r="64" spans="1:10" ht="13.5" customHeight="1">
      <c r="A64" s="386" t="s">
        <v>401</v>
      </c>
      <c r="B64" s="386"/>
      <c r="C64" s="386"/>
      <c r="D64" s="386"/>
      <c r="E64" s="386"/>
      <c r="F64" s="386"/>
      <c r="G64" s="19">
        <v>56</v>
      </c>
      <c r="H64" s="20" t="s">
        <v>1813</v>
      </c>
      <c r="I64" s="71">
        <v>0</v>
      </c>
      <c r="J64" s="71">
        <v>0</v>
      </c>
    </row>
    <row r="65" spans="1:10" ht="24.75" customHeight="1">
      <c r="A65" s="386" t="s">
        <v>2121</v>
      </c>
      <c r="B65" s="386"/>
      <c r="C65" s="386"/>
      <c r="D65" s="386"/>
      <c r="E65" s="386"/>
      <c r="F65" s="386"/>
      <c r="G65" s="19">
        <v>57</v>
      </c>
      <c r="H65" s="20" t="s">
        <v>1813</v>
      </c>
      <c r="I65" s="71">
        <v>0</v>
      </c>
      <c r="J65" s="71">
        <v>0</v>
      </c>
    </row>
    <row r="66" spans="1:10" ht="24.75" customHeight="1">
      <c r="A66" s="386" t="s">
        <v>1812</v>
      </c>
      <c r="B66" s="386"/>
      <c r="C66" s="386"/>
      <c r="D66" s="386"/>
      <c r="E66" s="386"/>
      <c r="F66" s="386"/>
      <c r="G66" s="19">
        <v>58</v>
      </c>
      <c r="H66" s="20" t="s">
        <v>1813</v>
      </c>
      <c r="I66" s="71">
        <v>0</v>
      </c>
      <c r="J66" s="71">
        <v>0</v>
      </c>
    </row>
    <row r="67" spans="1:10" ht="24.75" customHeight="1">
      <c r="A67" s="386" t="s">
        <v>2120</v>
      </c>
      <c r="B67" s="386"/>
      <c r="C67" s="386"/>
      <c r="D67" s="386"/>
      <c r="E67" s="386"/>
      <c r="F67" s="386"/>
      <c r="G67" s="19">
        <v>59</v>
      </c>
      <c r="H67" s="20" t="s">
        <v>1813</v>
      </c>
      <c r="I67" s="71">
        <v>0</v>
      </c>
      <c r="J67" s="71">
        <v>0</v>
      </c>
    </row>
    <row r="68" spans="1:10" ht="13.5" customHeight="1">
      <c r="A68" s="386" t="s">
        <v>402</v>
      </c>
      <c r="B68" s="386"/>
      <c r="C68" s="386"/>
      <c r="D68" s="386"/>
      <c r="E68" s="386"/>
      <c r="F68" s="386"/>
      <c r="G68" s="19">
        <v>60</v>
      </c>
      <c r="H68" s="20" t="s">
        <v>1813</v>
      </c>
      <c r="I68" s="71">
        <v>0</v>
      </c>
      <c r="J68" s="71">
        <v>0</v>
      </c>
    </row>
    <row r="69" spans="1:10" ht="13.5" customHeight="1">
      <c r="A69" s="386" t="s">
        <v>403</v>
      </c>
      <c r="B69" s="386"/>
      <c r="C69" s="386"/>
      <c r="D69" s="386"/>
      <c r="E69" s="386"/>
      <c r="F69" s="386"/>
      <c r="G69" s="19">
        <v>61</v>
      </c>
      <c r="H69" s="20" t="s">
        <v>1813</v>
      </c>
      <c r="I69" s="71">
        <v>2093891</v>
      </c>
      <c r="J69" s="71">
        <v>2025536</v>
      </c>
    </row>
    <row r="70" spans="1:10" ht="13.5" customHeight="1">
      <c r="A70" s="386" t="s">
        <v>1038</v>
      </c>
      <c r="B70" s="386"/>
      <c r="C70" s="386"/>
      <c r="D70" s="386"/>
      <c r="E70" s="386"/>
      <c r="F70" s="386"/>
      <c r="G70" s="19">
        <v>62</v>
      </c>
      <c r="H70" s="20" t="s">
        <v>1813</v>
      </c>
      <c r="I70" s="71">
        <v>812</v>
      </c>
      <c r="J70" s="71">
        <v>812</v>
      </c>
    </row>
    <row r="71" spans="1:10" ht="13.5" customHeight="1">
      <c r="A71" s="387" t="s">
        <v>2395</v>
      </c>
      <c r="B71" s="387"/>
      <c r="C71" s="387"/>
      <c r="D71" s="387"/>
      <c r="E71" s="387"/>
      <c r="F71" s="387"/>
      <c r="G71" s="19">
        <v>63</v>
      </c>
      <c r="H71" s="20" t="s">
        <v>1813</v>
      </c>
      <c r="I71" s="71">
        <v>26989</v>
      </c>
      <c r="J71" s="71">
        <v>9438</v>
      </c>
    </row>
    <row r="72" spans="1:10" ht="24.75" customHeight="1">
      <c r="A72" s="384" t="s">
        <v>1558</v>
      </c>
      <c r="B72" s="384"/>
      <c r="C72" s="384"/>
      <c r="D72" s="384"/>
      <c r="E72" s="384"/>
      <c r="F72" s="384"/>
      <c r="G72" s="19">
        <v>64</v>
      </c>
      <c r="H72" s="20" t="s">
        <v>1813</v>
      </c>
      <c r="I72" s="71">
        <v>0</v>
      </c>
      <c r="J72" s="71">
        <v>0</v>
      </c>
    </row>
    <row r="73" spans="1:10" ht="13.5" customHeight="1">
      <c r="A73" s="384" t="s">
        <v>2650</v>
      </c>
      <c r="B73" s="384"/>
      <c r="C73" s="384"/>
      <c r="D73" s="384"/>
      <c r="E73" s="384"/>
      <c r="F73" s="384"/>
      <c r="G73" s="19">
        <v>65</v>
      </c>
      <c r="H73" s="20" t="s">
        <v>1813</v>
      </c>
      <c r="I73" s="70">
        <f>I9+I10+I45+I72</f>
        <v>170017728</v>
      </c>
      <c r="J73" s="70">
        <f>J9+J10+J45+J72</f>
        <v>102651381</v>
      </c>
    </row>
    <row r="74" spans="1:10" ht="13.5" customHeight="1">
      <c r="A74" s="385" t="s">
        <v>257</v>
      </c>
      <c r="B74" s="385"/>
      <c r="C74" s="385"/>
      <c r="D74" s="385"/>
      <c r="E74" s="385"/>
      <c r="F74" s="385"/>
      <c r="G74" s="21">
        <v>66</v>
      </c>
      <c r="H74" s="22" t="s">
        <v>1813</v>
      </c>
      <c r="I74" s="72">
        <v>250827376</v>
      </c>
      <c r="J74" s="72">
        <v>250827376</v>
      </c>
    </row>
    <row r="75" spans="1:10" ht="13.5" customHeight="1">
      <c r="A75" s="388" t="s">
        <v>663</v>
      </c>
      <c r="B75" s="389"/>
      <c r="C75" s="389"/>
      <c r="D75" s="389"/>
      <c r="E75" s="389"/>
      <c r="F75" s="389"/>
      <c r="G75" s="389"/>
      <c r="H75" s="389"/>
      <c r="I75" s="389"/>
      <c r="J75" s="389"/>
    </row>
    <row r="76" spans="1:12" ht="13.5" customHeight="1">
      <c r="A76" s="384" t="s">
        <v>2651</v>
      </c>
      <c r="B76" s="384"/>
      <c r="C76" s="384"/>
      <c r="D76" s="384"/>
      <c r="E76" s="384"/>
      <c r="F76" s="384"/>
      <c r="G76" s="19">
        <v>67</v>
      </c>
      <c r="H76" s="20" t="s">
        <v>1813</v>
      </c>
      <c r="I76" s="70">
        <f>I77+I78+I79+I85+I86+I90+I93+I96</f>
        <v>62678718</v>
      </c>
      <c r="J76" s="70">
        <f>J77+J78+J79+J85+J86+J90+J93+J96</f>
        <v>5708982</v>
      </c>
      <c r="L76" s="2" t="s">
        <v>2591</v>
      </c>
    </row>
    <row r="77" spans="1:10" ht="13.5" customHeight="1">
      <c r="A77" s="387" t="s">
        <v>935</v>
      </c>
      <c r="B77" s="387"/>
      <c r="C77" s="387"/>
      <c r="D77" s="387"/>
      <c r="E77" s="387"/>
      <c r="F77" s="387"/>
      <c r="G77" s="19">
        <v>68</v>
      </c>
      <c r="H77" s="20" t="s">
        <v>1813</v>
      </c>
      <c r="I77" s="71">
        <v>110466000</v>
      </c>
      <c r="J77" s="71">
        <v>110466000</v>
      </c>
    </row>
    <row r="78" spans="1:12" ht="13.5" customHeight="1">
      <c r="A78" s="387" t="s">
        <v>936</v>
      </c>
      <c r="B78" s="387"/>
      <c r="C78" s="387"/>
      <c r="D78" s="387"/>
      <c r="E78" s="387"/>
      <c r="F78" s="387"/>
      <c r="G78" s="19">
        <v>69</v>
      </c>
      <c r="H78" s="20" t="s">
        <v>1813</v>
      </c>
      <c r="I78" s="71">
        <v>0</v>
      </c>
      <c r="J78" s="71">
        <v>0</v>
      </c>
      <c r="L78" s="2" t="s">
        <v>2591</v>
      </c>
    </row>
    <row r="79" spans="1:12" ht="13.5" customHeight="1">
      <c r="A79" s="387" t="s">
        <v>2473</v>
      </c>
      <c r="B79" s="387"/>
      <c r="C79" s="387"/>
      <c r="D79" s="387"/>
      <c r="E79" s="387"/>
      <c r="F79" s="387"/>
      <c r="G79" s="19">
        <v>70</v>
      </c>
      <c r="H79" s="20" t="s">
        <v>1813</v>
      </c>
      <c r="I79" s="70">
        <f>I80+I81-I82+I83+I84</f>
        <v>20558179</v>
      </c>
      <c r="J79" s="70">
        <f>J80+J81-J82+J83+J84</f>
        <v>20558179</v>
      </c>
      <c r="L79" s="2" t="s">
        <v>2591</v>
      </c>
    </row>
    <row r="80" spans="1:10" ht="13.5" customHeight="1">
      <c r="A80" s="386" t="s">
        <v>2641</v>
      </c>
      <c r="B80" s="386"/>
      <c r="C80" s="386"/>
      <c r="D80" s="386"/>
      <c r="E80" s="386"/>
      <c r="F80" s="386"/>
      <c r="G80" s="19">
        <v>71</v>
      </c>
      <c r="H80" s="20" t="s">
        <v>1813</v>
      </c>
      <c r="I80" s="71">
        <v>0</v>
      </c>
      <c r="J80" s="71">
        <v>0</v>
      </c>
    </row>
    <row r="81" spans="1:10" ht="13.5" customHeight="1">
      <c r="A81" s="386" t="s">
        <v>2642</v>
      </c>
      <c r="B81" s="386"/>
      <c r="C81" s="386"/>
      <c r="D81" s="386"/>
      <c r="E81" s="386"/>
      <c r="F81" s="386"/>
      <c r="G81" s="19">
        <v>72</v>
      </c>
      <c r="H81" s="20" t="s">
        <v>1813</v>
      </c>
      <c r="I81" s="71">
        <v>0</v>
      </c>
      <c r="J81" s="71">
        <v>0</v>
      </c>
    </row>
    <row r="82" spans="1:10" ht="13.5" customHeight="1">
      <c r="A82" s="386" t="s">
        <v>1133</v>
      </c>
      <c r="B82" s="386"/>
      <c r="C82" s="386"/>
      <c r="D82" s="386"/>
      <c r="E82" s="386"/>
      <c r="F82" s="386"/>
      <c r="G82" s="19">
        <v>73</v>
      </c>
      <c r="H82" s="20" t="s">
        <v>1813</v>
      </c>
      <c r="I82" s="71">
        <v>0</v>
      </c>
      <c r="J82" s="71">
        <v>0</v>
      </c>
    </row>
    <row r="83" spans="1:10" ht="13.5" customHeight="1">
      <c r="A83" s="386" t="s">
        <v>1134</v>
      </c>
      <c r="B83" s="386"/>
      <c r="C83" s="386"/>
      <c r="D83" s="386"/>
      <c r="E83" s="386"/>
      <c r="F83" s="386"/>
      <c r="G83" s="19">
        <v>74</v>
      </c>
      <c r="H83" s="20" t="s">
        <v>1813</v>
      </c>
      <c r="I83" s="71">
        <v>0</v>
      </c>
      <c r="J83" s="71">
        <v>0</v>
      </c>
    </row>
    <row r="84" spans="1:10" ht="13.5" customHeight="1">
      <c r="A84" s="386" t="s">
        <v>1135</v>
      </c>
      <c r="B84" s="386"/>
      <c r="C84" s="386"/>
      <c r="D84" s="386"/>
      <c r="E84" s="386"/>
      <c r="F84" s="386"/>
      <c r="G84" s="19">
        <v>75</v>
      </c>
      <c r="H84" s="20" t="s">
        <v>1813</v>
      </c>
      <c r="I84" s="71">
        <v>20558179</v>
      </c>
      <c r="J84" s="71">
        <v>20558179</v>
      </c>
    </row>
    <row r="85" spans="1:12" ht="13.5" customHeight="1">
      <c r="A85" s="387" t="s">
        <v>1606</v>
      </c>
      <c r="B85" s="387"/>
      <c r="C85" s="387"/>
      <c r="D85" s="387"/>
      <c r="E85" s="387"/>
      <c r="F85" s="387"/>
      <c r="G85" s="19">
        <v>76</v>
      </c>
      <c r="H85" s="20" t="s">
        <v>1813</v>
      </c>
      <c r="I85" s="71">
        <v>53533802</v>
      </c>
      <c r="J85" s="71">
        <v>0</v>
      </c>
      <c r="L85" s="2" t="s">
        <v>2591</v>
      </c>
    </row>
    <row r="86" spans="1:10" ht="13.5" customHeight="1">
      <c r="A86" s="387" t="s">
        <v>19</v>
      </c>
      <c r="B86" s="387"/>
      <c r="C86" s="387"/>
      <c r="D86" s="387"/>
      <c r="E86" s="387"/>
      <c r="F86" s="387"/>
      <c r="G86" s="19">
        <v>77</v>
      </c>
      <c r="H86" s="20" t="s">
        <v>1813</v>
      </c>
      <c r="I86" s="70">
        <f>SUM(I87:I89)</f>
        <v>0</v>
      </c>
      <c r="J86" s="70">
        <f>SUM(J87:J89)</f>
        <v>0</v>
      </c>
    </row>
    <row r="87" spans="1:10" ht="13.5" customHeight="1">
      <c r="A87" s="386" t="s">
        <v>1136</v>
      </c>
      <c r="B87" s="386"/>
      <c r="C87" s="386"/>
      <c r="D87" s="386"/>
      <c r="E87" s="386"/>
      <c r="F87" s="386"/>
      <c r="G87" s="19">
        <v>78</v>
      </c>
      <c r="H87" s="20" t="s">
        <v>1813</v>
      </c>
      <c r="I87" s="71">
        <v>0</v>
      </c>
      <c r="J87" s="71">
        <v>0</v>
      </c>
    </row>
    <row r="88" spans="1:10" ht="13.5" customHeight="1">
      <c r="A88" s="386" t="s">
        <v>1137</v>
      </c>
      <c r="B88" s="386"/>
      <c r="C88" s="386"/>
      <c r="D88" s="386"/>
      <c r="E88" s="386"/>
      <c r="F88" s="386"/>
      <c r="G88" s="19">
        <v>79</v>
      </c>
      <c r="H88" s="20" t="s">
        <v>1813</v>
      </c>
      <c r="I88" s="71">
        <v>0</v>
      </c>
      <c r="J88" s="71">
        <v>0</v>
      </c>
    </row>
    <row r="89" spans="1:10" ht="13.5" customHeight="1">
      <c r="A89" s="386" t="s">
        <v>1138</v>
      </c>
      <c r="B89" s="386"/>
      <c r="C89" s="386"/>
      <c r="D89" s="386"/>
      <c r="E89" s="386"/>
      <c r="F89" s="386"/>
      <c r="G89" s="19">
        <v>80</v>
      </c>
      <c r="H89" s="20" t="s">
        <v>1813</v>
      </c>
      <c r="I89" s="71">
        <v>0</v>
      </c>
      <c r="J89" s="71">
        <v>0</v>
      </c>
    </row>
    <row r="90" spans="1:12" ht="13.5" customHeight="1">
      <c r="A90" s="387" t="s">
        <v>2652</v>
      </c>
      <c r="B90" s="387"/>
      <c r="C90" s="387"/>
      <c r="D90" s="387"/>
      <c r="E90" s="387"/>
      <c r="F90" s="387"/>
      <c r="G90" s="19">
        <v>81</v>
      </c>
      <c r="H90" s="20" t="s">
        <v>1813</v>
      </c>
      <c r="I90" s="70">
        <f>I91-I92</f>
        <v>-61094547</v>
      </c>
      <c r="J90" s="70">
        <f>J91-J92</f>
        <v>-122421014</v>
      </c>
      <c r="L90" s="2" t="s">
        <v>2591</v>
      </c>
    </row>
    <row r="91" spans="1:10" ht="13.5" customHeight="1">
      <c r="A91" s="386" t="s">
        <v>1139</v>
      </c>
      <c r="B91" s="386"/>
      <c r="C91" s="386"/>
      <c r="D91" s="386"/>
      <c r="E91" s="386"/>
      <c r="F91" s="386"/>
      <c r="G91" s="19">
        <v>82</v>
      </c>
      <c r="H91" s="20" t="s">
        <v>1813</v>
      </c>
      <c r="I91" s="71">
        <v>0</v>
      </c>
      <c r="J91" s="71">
        <v>0</v>
      </c>
    </row>
    <row r="92" spans="1:10" ht="13.5" customHeight="1">
      <c r="A92" s="386" t="s">
        <v>1140</v>
      </c>
      <c r="B92" s="386"/>
      <c r="C92" s="386"/>
      <c r="D92" s="386"/>
      <c r="E92" s="386"/>
      <c r="F92" s="386"/>
      <c r="G92" s="19">
        <v>83</v>
      </c>
      <c r="H92" s="20" t="s">
        <v>1813</v>
      </c>
      <c r="I92" s="71">
        <v>61094547</v>
      </c>
      <c r="J92" s="71">
        <v>122421014</v>
      </c>
    </row>
    <row r="93" spans="1:12" ht="13.5" customHeight="1">
      <c r="A93" s="387" t="s">
        <v>2653</v>
      </c>
      <c r="B93" s="387"/>
      <c r="C93" s="387"/>
      <c r="D93" s="387"/>
      <c r="E93" s="387"/>
      <c r="F93" s="387"/>
      <c r="G93" s="19">
        <v>84</v>
      </c>
      <c r="H93" s="20" t="s">
        <v>1813</v>
      </c>
      <c r="I93" s="70">
        <f>I94-I95</f>
        <v>-60784716</v>
      </c>
      <c r="J93" s="70">
        <f>J94-J95</f>
        <v>-2894183</v>
      </c>
      <c r="L93" s="2" t="s">
        <v>2591</v>
      </c>
    </row>
    <row r="94" spans="1:10" ht="13.5" customHeight="1">
      <c r="A94" s="386" t="s">
        <v>2640</v>
      </c>
      <c r="B94" s="386"/>
      <c r="C94" s="386"/>
      <c r="D94" s="386"/>
      <c r="E94" s="386"/>
      <c r="F94" s="386"/>
      <c r="G94" s="19">
        <v>85</v>
      </c>
      <c r="H94" s="20" t="s">
        <v>1813</v>
      </c>
      <c r="I94" s="71">
        <v>0</v>
      </c>
      <c r="J94" s="71">
        <v>0</v>
      </c>
    </row>
    <row r="95" spans="1:10" ht="13.5" customHeight="1">
      <c r="A95" s="386" t="s">
        <v>1141</v>
      </c>
      <c r="B95" s="386"/>
      <c r="C95" s="386"/>
      <c r="D95" s="386"/>
      <c r="E95" s="386"/>
      <c r="F95" s="386"/>
      <c r="G95" s="19">
        <v>86</v>
      </c>
      <c r="H95" s="20" t="s">
        <v>1813</v>
      </c>
      <c r="I95" s="71">
        <v>60784716</v>
      </c>
      <c r="J95" s="71">
        <v>2894183</v>
      </c>
    </row>
    <row r="96" spans="1:12" ht="13.5" customHeight="1">
      <c r="A96" s="387" t="s">
        <v>2191</v>
      </c>
      <c r="B96" s="387"/>
      <c r="C96" s="387"/>
      <c r="D96" s="387"/>
      <c r="E96" s="387"/>
      <c r="F96" s="387"/>
      <c r="G96" s="19">
        <v>87</v>
      </c>
      <c r="H96" s="20" t="s">
        <v>1813</v>
      </c>
      <c r="I96" s="71">
        <v>0</v>
      </c>
      <c r="J96" s="71">
        <v>0</v>
      </c>
      <c r="L96" s="2" t="s">
        <v>2591</v>
      </c>
    </row>
    <row r="97" spans="1:10" ht="13.5" customHeight="1">
      <c r="A97" s="384" t="s">
        <v>2654</v>
      </c>
      <c r="B97" s="384"/>
      <c r="C97" s="384"/>
      <c r="D97" s="384"/>
      <c r="E97" s="384"/>
      <c r="F97" s="384"/>
      <c r="G97" s="19">
        <v>88</v>
      </c>
      <c r="H97" s="20" t="s">
        <v>1813</v>
      </c>
      <c r="I97" s="70">
        <f>SUM(I98:I103)</f>
        <v>0</v>
      </c>
      <c r="J97" s="70">
        <f>SUM(J98:J103)</f>
        <v>0</v>
      </c>
    </row>
    <row r="98" spans="1:10" ht="13.5" customHeight="1">
      <c r="A98" s="386" t="s">
        <v>901</v>
      </c>
      <c r="B98" s="386"/>
      <c r="C98" s="386"/>
      <c r="D98" s="386"/>
      <c r="E98" s="386"/>
      <c r="F98" s="386"/>
      <c r="G98" s="19">
        <v>89</v>
      </c>
      <c r="H98" s="20" t="s">
        <v>1813</v>
      </c>
      <c r="I98" s="71">
        <v>0</v>
      </c>
      <c r="J98" s="71">
        <v>0</v>
      </c>
    </row>
    <row r="99" spans="1:10" ht="13.5" customHeight="1">
      <c r="A99" s="386" t="s">
        <v>902</v>
      </c>
      <c r="B99" s="386"/>
      <c r="C99" s="386"/>
      <c r="D99" s="386"/>
      <c r="E99" s="386"/>
      <c r="F99" s="386"/>
      <c r="G99" s="19">
        <v>90</v>
      </c>
      <c r="H99" s="20" t="s">
        <v>1813</v>
      </c>
      <c r="I99" s="71">
        <v>0</v>
      </c>
      <c r="J99" s="71">
        <v>0</v>
      </c>
    </row>
    <row r="100" spans="1:10" ht="13.5" customHeight="1">
      <c r="A100" s="386" t="s">
        <v>2639</v>
      </c>
      <c r="B100" s="386"/>
      <c r="C100" s="386"/>
      <c r="D100" s="386"/>
      <c r="E100" s="386"/>
      <c r="F100" s="386"/>
      <c r="G100" s="19">
        <v>91</v>
      </c>
      <c r="H100" s="20" t="s">
        <v>1813</v>
      </c>
      <c r="I100" s="71">
        <v>0</v>
      </c>
      <c r="J100" s="71">
        <v>0</v>
      </c>
    </row>
    <row r="101" spans="1:10" ht="13.5" customHeight="1">
      <c r="A101" s="386" t="s">
        <v>1142</v>
      </c>
      <c r="B101" s="386"/>
      <c r="C101" s="386"/>
      <c r="D101" s="386"/>
      <c r="E101" s="386"/>
      <c r="F101" s="386"/>
      <c r="G101" s="19">
        <v>92</v>
      </c>
      <c r="H101" s="20" t="s">
        <v>1813</v>
      </c>
      <c r="I101" s="71">
        <v>0</v>
      </c>
      <c r="J101" s="71">
        <v>0</v>
      </c>
    </row>
    <row r="102" spans="1:10" ht="13.5" customHeight="1">
      <c r="A102" s="386" t="s">
        <v>501</v>
      </c>
      <c r="B102" s="386"/>
      <c r="C102" s="386"/>
      <c r="D102" s="386"/>
      <c r="E102" s="386"/>
      <c r="F102" s="386"/>
      <c r="G102" s="19">
        <v>93</v>
      </c>
      <c r="H102" s="20" t="s">
        <v>1813</v>
      </c>
      <c r="I102" s="71">
        <v>0</v>
      </c>
      <c r="J102" s="71">
        <v>0</v>
      </c>
    </row>
    <row r="103" spans="1:10" ht="13.5" customHeight="1">
      <c r="A103" s="386" t="s">
        <v>2192</v>
      </c>
      <c r="B103" s="386"/>
      <c r="C103" s="386"/>
      <c r="D103" s="386"/>
      <c r="E103" s="386"/>
      <c r="F103" s="386"/>
      <c r="G103" s="19">
        <v>94</v>
      </c>
      <c r="H103" s="20" t="s">
        <v>1813</v>
      </c>
      <c r="I103" s="71">
        <v>0</v>
      </c>
      <c r="J103" s="71">
        <v>0</v>
      </c>
    </row>
    <row r="104" spans="1:10" ht="13.5" customHeight="1">
      <c r="A104" s="384" t="s">
        <v>2655</v>
      </c>
      <c r="B104" s="384"/>
      <c r="C104" s="384"/>
      <c r="D104" s="384"/>
      <c r="E104" s="384"/>
      <c r="F104" s="384"/>
      <c r="G104" s="19">
        <v>95</v>
      </c>
      <c r="H104" s="20" t="s">
        <v>1813</v>
      </c>
      <c r="I104" s="70">
        <f>SUM(I105:I115)</f>
        <v>11057204</v>
      </c>
      <c r="J104" s="70">
        <f>SUM(J105:J115)</f>
        <v>0</v>
      </c>
    </row>
    <row r="105" spans="1:10" ht="13.5" customHeight="1">
      <c r="A105" s="386" t="s">
        <v>2193</v>
      </c>
      <c r="B105" s="386"/>
      <c r="C105" s="386"/>
      <c r="D105" s="386"/>
      <c r="E105" s="386"/>
      <c r="F105" s="386"/>
      <c r="G105" s="19">
        <v>96</v>
      </c>
      <c r="H105" s="20" t="s">
        <v>1813</v>
      </c>
      <c r="I105" s="71">
        <v>0</v>
      </c>
      <c r="J105" s="71">
        <v>0</v>
      </c>
    </row>
    <row r="106" spans="1:10" ht="13.5" customHeight="1">
      <c r="A106" s="386" t="s">
        <v>356</v>
      </c>
      <c r="B106" s="386"/>
      <c r="C106" s="386"/>
      <c r="D106" s="386"/>
      <c r="E106" s="386"/>
      <c r="F106" s="386"/>
      <c r="G106" s="19">
        <v>97</v>
      </c>
      <c r="H106" s="20" t="s">
        <v>1813</v>
      </c>
      <c r="I106" s="71">
        <v>0</v>
      </c>
      <c r="J106" s="71">
        <v>0</v>
      </c>
    </row>
    <row r="107" spans="1:10" ht="13.5" customHeight="1">
      <c r="A107" s="386" t="s">
        <v>360</v>
      </c>
      <c r="B107" s="386"/>
      <c r="C107" s="386"/>
      <c r="D107" s="386"/>
      <c r="E107" s="386"/>
      <c r="F107" s="386"/>
      <c r="G107" s="19">
        <v>98</v>
      </c>
      <c r="H107" s="20" t="s">
        <v>1813</v>
      </c>
      <c r="I107" s="71">
        <v>0</v>
      </c>
      <c r="J107" s="71">
        <v>0</v>
      </c>
    </row>
    <row r="108" spans="1:10" ht="24.75" customHeight="1">
      <c r="A108" s="386" t="s">
        <v>1559</v>
      </c>
      <c r="B108" s="386"/>
      <c r="C108" s="386"/>
      <c r="D108" s="386"/>
      <c r="E108" s="386"/>
      <c r="F108" s="386"/>
      <c r="G108" s="19">
        <v>99</v>
      </c>
      <c r="H108" s="20" t="s">
        <v>1813</v>
      </c>
      <c r="I108" s="71">
        <v>0</v>
      </c>
      <c r="J108" s="71">
        <v>0</v>
      </c>
    </row>
    <row r="109" spans="1:10" ht="13.5" customHeight="1">
      <c r="A109" s="386" t="s">
        <v>361</v>
      </c>
      <c r="B109" s="386"/>
      <c r="C109" s="386"/>
      <c r="D109" s="386"/>
      <c r="E109" s="386"/>
      <c r="F109" s="386"/>
      <c r="G109" s="19">
        <v>100</v>
      </c>
      <c r="H109" s="20" t="s">
        <v>1813</v>
      </c>
      <c r="I109" s="71">
        <v>0</v>
      </c>
      <c r="J109" s="71">
        <v>0</v>
      </c>
    </row>
    <row r="110" spans="1:10" ht="13.5" customHeight="1">
      <c r="A110" s="386" t="s">
        <v>362</v>
      </c>
      <c r="B110" s="386"/>
      <c r="C110" s="386"/>
      <c r="D110" s="386"/>
      <c r="E110" s="386"/>
      <c r="F110" s="386"/>
      <c r="G110" s="19">
        <v>101</v>
      </c>
      <c r="H110" s="20" t="s">
        <v>1813</v>
      </c>
      <c r="I110" s="71">
        <v>0</v>
      </c>
      <c r="J110" s="71">
        <v>0</v>
      </c>
    </row>
    <row r="111" spans="1:10" ht="13.5" customHeight="1">
      <c r="A111" s="386" t="s">
        <v>357</v>
      </c>
      <c r="B111" s="386"/>
      <c r="C111" s="386"/>
      <c r="D111" s="386"/>
      <c r="E111" s="386"/>
      <c r="F111" s="386"/>
      <c r="G111" s="19">
        <v>102</v>
      </c>
      <c r="H111" s="20" t="s">
        <v>1813</v>
      </c>
      <c r="I111" s="71">
        <v>0</v>
      </c>
      <c r="J111" s="71">
        <v>0</v>
      </c>
    </row>
    <row r="112" spans="1:10" ht="13.5" customHeight="1">
      <c r="A112" s="386" t="s">
        <v>358</v>
      </c>
      <c r="B112" s="386"/>
      <c r="C112" s="386"/>
      <c r="D112" s="386"/>
      <c r="E112" s="386"/>
      <c r="F112" s="386"/>
      <c r="G112" s="19">
        <v>103</v>
      </c>
      <c r="H112" s="20" t="s">
        <v>1813</v>
      </c>
      <c r="I112" s="71">
        <v>0</v>
      </c>
      <c r="J112" s="71">
        <v>0</v>
      </c>
    </row>
    <row r="113" spans="1:10" ht="13.5" customHeight="1">
      <c r="A113" s="386" t="s">
        <v>359</v>
      </c>
      <c r="B113" s="386"/>
      <c r="C113" s="386"/>
      <c r="D113" s="386"/>
      <c r="E113" s="386"/>
      <c r="F113" s="386"/>
      <c r="G113" s="19">
        <v>104</v>
      </c>
      <c r="H113" s="20" t="s">
        <v>1813</v>
      </c>
      <c r="I113" s="71">
        <v>0</v>
      </c>
      <c r="J113" s="71">
        <v>0</v>
      </c>
    </row>
    <row r="114" spans="1:10" ht="13.5" customHeight="1">
      <c r="A114" s="386" t="s">
        <v>502</v>
      </c>
      <c r="B114" s="386"/>
      <c r="C114" s="386"/>
      <c r="D114" s="386"/>
      <c r="E114" s="386"/>
      <c r="F114" s="386"/>
      <c r="G114" s="19">
        <v>105</v>
      </c>
      <c r="H114" s="20" t="s">
        <v>1813</v>
      </c>
      <c r="I114" s="71">
        <v>0</v>
      </c>
      <c r="J114" s="71">
        <v>0</v>
      </c>
    </row>
    <row r="115" spans="1:10" ht="13.5" customHeight="1">
      <c r="A115" s="386" t="s">
        <v>503</v>
      </c>
      <c r="B115" s="386"/>
      <c r="C115" s="386"/>
      <c r="D115" s="386"/>
      <c r="E115" s="386"/>
      <c r="F115" s="386"/>
      <c r="G115" s="19">
        <v>106</v>
      </c>
      <c r="H115" s="20" t="s">
        <v>1813</v>
      </c>
      <c r="I115" s="71">
        <v>11057204</v>
      </c>
      <c r="J115" s="71">
        <v>0</v>
      </c>
    </row>
    <row r="116" spans="1:10" ht="13.5" customHeight="1">
      <c r="A116" s="384" t="s">
        <v>2656</v>
      </c>
      <c r="B116" s="384"/>
      <c r="C116" s="384"/>
      <c r="D116" s="384"/>
      <c r="E116" s="384"/>
      <c r="F116" s="384"/>
      <c r="G116" s="19">
        <v>107</v>
      </c>
      <c r="H116" s="20" t="s">
        <v>1813</v>
      </c>
      <c r="I116" s="70">
        <f>SUM(I117:I130)</f>
        <v>96201313</v>
      </c>
      <c r="J116" s="70">
        <f>SUM(J117:J130)</f>
        <v>96942399</v>
      </c>
    </row>
    <row r="117" spans="1:10" ht="13.5" customHeight="1">
      <c r="A117" s="386" t="s">
        <v>2193</v>
      </c>
      <c r="B117" s="386"/>
      <c r="C117" s="386"/>
      <c r="D117" s="386"/>
      <c r="E117" s="386"/>
      <c r="F117" s="386"/>
      <c r="G117" s="19">
        <v>108</v>
      </c>
      <c r="H117" s="20" t="s">
        <v>1813</v>
      </c>
      <c r="I117" s="71">
        <v>0</v>
      </c>
      <c r="J117" s="71">
        <v>0</v>
      </c>
    </row>
    <row r="118" spans="1:10" ht="13.5" customHeight="1">
      <c r="A118" s="386" t="s">
        <v>356</v>
      </c>
      <c r="B118" s="386"/>
      <c r="C118" s="386"/>
      <c r="D118" s="386"/>
      <c r="E118" s="386"/>
      <c r="F118" s="386"/>
      <c r="G118" s="19">
        <v>109</v>
      </c>
      <c r="H118" s="20" t="s">
        <v>1813</v>
      </c>
      <c r="I118" s="71">
        <v>0</v>
      </c>
      <c r="J118" s="71">
        <v>0</v>
      </c>
    </row>
    <row r="119" spans="1:10" ht="13.5" customHeight="1">
      <c r="A119" s="386" t="s">
        <v>360</v>
      </c>
      <c r="B119" s="386"/>
      <c r="C119" s="386"/>
      <c r="D119" s="386"/>
      <c r="E119" s="386"/>
      <c r="F119" s="386"/>
      <c r="G119" s="19">
        <v>110</v>
      </c>
      <c r="H119" s="20" t="s">
        <v>1813</v>
      </c>
      <c r="I119" s="71">
        <v>0</v>
      </c>
      <c r="J119" s="71">
        <v>0</v>
      </c>
    </row>
    <row r="120" spans="1:10" ht="24.75" customHeight="1">
      <c r="A120" s="386" t="s">
        <v>1559</v>
      </c>
      <c r="B120" s="386"/>
      <c r="C120" s="386"/>
      <c r="D120" s="386"/>
      <c r="E120" s="386"/>
      <c r="F120" s="386"/>
      <c r="G120" s="19">
        <v>111</v>
      </c>
      <c r="H120" s="20" t="s">
        <v>1813</v>
      </c>
      <c r="I120" s="71">
        <v>0</v>
      </c>
      <c r="J120" s="71">
        <v>0</v>
      </c>
    </row>
    <row r="121" spans="1:10" ht="13.5" customHeight="1">
      <c r="A121" s="386" t="s">
        <v>361</v>
      </c>
      <c r="B121" s="386"/>
      <c r="C121" s="386"/>
      <c r="D121" s="386"/>
      <c r="E121" s="386"/>
      <c r="F121" s="386"/>
      <c r="G121" s="19">
        <v>112</v>
      </c>
      <c r="H121" s="20" t="s">
        <v>1813</v>
      </c>
      <c r="I121" s="71">
        <v>49200</v>
      </c>
      <c r="J121" s="71">
        <v>106366</v>
      </c>
    </row>
    <row r="122" spans="1:10" ht="13.5" customHeight="1">
      <c r="A122" s="386" t="s">
        <v>362</v>
      </c>
      <c r="B122" s="386"/>
      <c r="C122" s="386"/>
      <c r="D122" s="386"/>
      <c r="E122" s="386"/>
      <c r="F122" s="386"/>
      <c r="G122" s="19">
        <v>113</v>
      </c>
      <c r="H122" s="20" t="s">
        <v>1813</v>
      </c>
      <c r="I122" s="71">
        <v>7763706</v>
      </c>
      <c r="J122" s="71">
        <v>7729910</v>
      </c>
    </row>
    <row r="123" spans="1:10" ht="13.5" customHeight="1">
      <c r="A123" s="386" t="s">
        <v>357</v>
      </c>
      <c r="B123" s="386"/>
      <c r="C123" s="386"/>
      <c r="D123" s="386"/>
      <c r="E123" s="386"/>
      <c r="F123" s="386"/>
      <c r="G123" s="19">
        <v>114</v>
      </c>
      <c r="H123" s="20" t="s">
        <v>1813</v>
      </c>
      <c r="I123" s="71">
        <v>101011</v>
      </c>
      <c r="J123" s="71">
        <v>45881</v>
      </c>
    </row>
    <row r="124" spans="1:10" ht="13.5" customHeight="1">
      <c r="A124" s="386" t="s">
        <v>358</v>
      </c>
      <c r="B124" s="386"/>
      <c r="C124" s="386"/>
      <c r="D124" s="386"/>
      <c r="E124" s="386"/>
      <c r="F124" s="386"/>
      <c r="G124" s="19">
        <v>115</v>
      </c>
      <c r="H124" s="20" t="s">
        <v>1813</v>
      </c>
      <c r="I124" s="71">
        <v>79293267</v>
      </c>
      <c r="J124" s="71">
        <v>78857498</v>
      </c>
    </row>
    <row r="125" spans="1:10" ht="13.5" customHeight="1">
      <c r="A125" s="386" t="s">
        <v>359</v>
      </c>
      <c r="B125" s="386"/>
      <c r="C125" s="386"/>
      <c r="D125" s="386"/>
      <c r="E125" s="386"/>
      <c r="F125" s="386"/>
      <c r="G125" s="19">
        <v>116</v>
      </c>
      <c r="H125" s="20" t="s">
        <v>1813</v>
      </c>
      <c r="I125" s="71">
        <v>0</v>
      </c>
      <c r="J125" s="71">
        <v>0</v>
      </c>
    </row>
    <row r="126" spans="1:10" ht="13.5" customHeight="1">
      <c r="A126" s="386" t="s">
        <v>363</v>
      </c>
      <c r="B126" s="386"/>
      <c r="C126" s="386"/>
      <c r="D126" s="386"/>
      <c r="E126" s="386"/>
      <c r="F126" s="386"/>
      <c r="G126" s="19">
        <v>117</v>
      </c>
      <c r="H126" s="20" t="s">
        <v>1813</v>
      </c>
      <c r="I126" s="71">
        <v>119087</v>
      </c>
      <c r="J126" s="71">
        <v>207967</v>
      </c>
    </row>
    <row r="127" spans="1:10" ht="13.5" customHeight="1">
      <c r="A127" s="386" t="s">
        <v>364</v>
      </c>
      <c r="B127" s="386"/>
      <c r="C127" s="386"/>
      <c r="D127" s="386"/>
      <c r="E127" s="386"/>
      <c r="F127" s="386"/>
      <c r="G127" s="19">
        <v>118</v>
      </c>
      <c r="H127" s="20" t="s">
        <v>1813</v>
      </c>
      <c r="I127" s="71">
        <v>8265305</v>
      </c>
      <c r="J127" s="71">
        <v>9301564</v>
      </c>
    </row>
    <row r="128" spans="1:10" ht="13.5" customHeight="1">
      <c r="A128" s="386" t="s">
        <v>365</v>
      </c>
      <c r="B128" s="386"/>
      <c r="C128" s="386"/>
      <c r="D128" s="386"/>
      <c r="E128" s="386"/>
      <c r="F128" s="386"/>
      <c r="G128" s="19">
        <v>119</v>
      </c>
      <c r="H128" s="20" t="s">
        <v>1813</v>
      </c>
      <c r="I128" s="71">
        <v>0</v>
      </c>
      <c r="J128" s="71">
        <v>0</v>
      </c>
    </row>
    <row r="129" spans="1:10" ht="13.5" customHeight="1">
      <c r="A129" s="386" t="s">
        <v>398</v>
      </c>
      <c r="B129" s="386"/>
      <c r="C129" s="386"/>
      <c r="D129" s="386"/>
      <c r="E129" s="386"/>
      <c r="F129" s="386"/>
      <c r="G129" s="19">
        <v>120</v>
      </c>
      <c r="H129" s="20" t="s">
        <v>1813</v>
      </c>
      <c r="I129" s="71">
        <v>0</v>
      </c>
      <c r="J129" s="71">
        <v>0</v>
      </c>
    </row>
    <row r="130" spans="1:10" ht="13.5" customHeight="1">
      <c r="A130" s="386" t="s">
        <v>1039</v>
      </c>
      <c r="B130" s="386"/>
      <c r="C130" s="386"/>
      <c r="D130" s="386"/>
      <c r="E130" s="386"/>
      <c r="F130" s="386"/>
      <c r="G130" s="19">
        <v>121</v>
      </c>
      <c r="H130" s="20" t="s">
        <v>1813</v>
      </c>
      <c r="I130" s="71">
        <v>609737</v>
      </c>
      <c r="J130" s="71">
        <v>693213</v>
      </c>
    </row>
    <row r="131" spans="1:10" ht="24.75" customHeight="1">
      <c r="A131" s="384" t="s">
        <v>1560</v>
      </c>
      <c r="B131" s="384"/>
      <c r="C131" s="384"/>
      <c r="D131" s="384"/>
      <c r="E131" s="384"/>
      <c r="F131" s="384"/>
      <c r="G131" s="19">
        <v>122</v>
      </c>
      <c r="H131" s="20" t="s">
        <v>1813</v>
      </c>
      <c r="I131" s="71">
        <v>80493</v>
      </c>
      <c r="J131" s="71">
        <v>0</v>
      </c>
    </row>
    <row r="132" spans="1:10" ht="13.5" customHeight="1">
      <c r="A132" s="384" t="s">
        <v>2657</v>
      </c>
      <c r="B132" s="384"/>
      <c r="C132" s="384"/>
      <c r="D132" s="384"/>
      <c r="E132" s="384"/>
      <c r="F132" s="384"/>
      <c r="G132" s="19">
        <v>123</v>
      </c>
      <c r="H132" s="20" t="s">
        <v>1813</v>
      </c>
      <c r="I132" s="70">
        <f>I76+I97+I104+I116+I131</f>
        <v>170017728</v>
      </c>
      <c r="J132" s="70">
        <f>J76+J97+J104+J116+J131</f>
        <v>102651381</v>
      </c>
    </row>
    <row r="133" spans="1:10" ht="13.5" customHeight="1">
      <c r="A133" s="385" t="s">
        <v>662</v>
      </c>
      <c r="B133" s="385"/>
      <c r="C133" s="385"/>
      <c r="D133" s="385"/>
      <c r="E133" s="385"/>
      <c r="F133" s="385"/>
      <c r="G133" s="21">
        <v>124</v>
      </c>
      <c r="H133" s="22" t="s">
        <v>1813</v>
      </c>
      <c r="I133" s="72">
        <v>250827376</v>
      </c>
      <c r="J133" s="72">
        <v>250827376</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3"/>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4" activePane="bottomLeft" state="frozen"/>
      <selection pane="topLeft" activeCell="A1" sqref="A1"/>
      <selection pane="bottomLeft" activeCell="I105" sqref="I10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3" t="s">
        <v>139</v>
      </c>
      <c r="B2" s="416"/>
      <c r="C2" s="416"/>
      <c r="D2" s="416"/>
      <c r="E2" s="416"/>
      <c r="F2" s="416"/>
      <c r="G2" s="416"/>
      <c r="H2" s="416"/>
      <c r="I2" s="417"/>
      <c r="J2" s="391" t="s">
        <v>2592</v>
      </c>
      <c r="Q2" s="74">
        <f>IF(OR(MIN(I8:I105)&lt;0,MAX(I8:I105)&gt;0),1,0)</f>
        <v>1</v>
      </c>
      <c r="R2" s="73" t="s">
        <v>2586</v>
      </c>
    </row>
    <row r="3" spans="1:18" s="2" customFormat="1" ht="19.5" customHeight="1" thickBot="1">
      <c r="A3" s="396" t="str">
        <f>"za razdoblje "&amp;IF(RefStr!C4&lt;&gt;"",TEXT(RefStr!C4,"DD.MM.YYYY."),"__.__.____.")&amp;" do "&amp;IF(RefStr!F4&lt;&gt;"",TEXT(RefStr!F4,"DD.MM.YYYY."),"__.__.____.")</f>
        <v>za razdoblje 01.01.2019. do 31.12.2019.</v>
      </c>
      <c r="B3" s="418"/>
      <c r="C3" s="418"/>
      <c r="D3" s="418"/>
      <c r="E3" s="418"/>
      <c r="F3" s="418"/>
      <c r="G3" s="418"/>
      <c r="H3" s="418"/>
      <c r="I3" s="419"/>
      <c r="J3" s="392"/>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07538718933; ISTRA d.d.</v>
      </c>
      <c r="B5" s="414"/>
      <c r="C5" s="414"/>
      <c r="D5" s="414"/>
      <c r="E5" s="414"/>
      <c r="F5" s="414"/>
      <c r="G5" s="414"/>
      <c r="H5" s="414"/>
      <c r="I5" s="414"/>
      <c r="J5" s="415"/>
      <c r="Q5" s="2">
        <f>IF(OR(MIN(I85:I87,I103:I105)&lt;0,MAX(I85:I87,I103:I105)&gt;0),1,0)</f>
        <v>0</v>
      </c>
      <c r="R5" s="73" t="s">
        <v>2588</v>
      </c>
    </row>
    <row r="6" spans="1:18" s="2" customFormat="1" ht="24.75" customHeight="1" thickBot="1">
      <c r="A6" s="402" t="s">
        <v>719</v>
      </c>
      <c r="B6" s="403"/>
      <c r="C6" s="403"/>
      <c r="D6" s="403"/>
      <c r="E6" s="403"/>
      <c r="F6" s="403"/>
      <c r="G6" s="97" t="s">
        <v>799</v>
      </c>
      <c r="H6" s="97" t="s">
        <v>1968</v>
      </c>
      <c r="I6" s="102" t="s">
        <v>459</v>
      </c>
      <c r="J6" s="103" t="s">
        <v>460</v>
      </c>
      <c r="Q6" s="2">
        <f>IF(OR(MIN(J85:J87,J103:J105)&lt;0,MAX(J85:J87,J103:J105)&gt;0),1,0)</f>
        <v>0</v>
      </c>
      <c r="R6" s="73" t="s">
        <v>2589</v>
      </c>
    </row>
    <row r="7" spans="1:18" s="2" customFormat="1" ht="13.5" customHeight="1">
      <c r="A7" s="404">
        <v>1</v>
      </c>
      <c r="B7" s="405"/>
      <c r="C7" s="405"/>
      <c r="D7" s="405"/>
      <c r="E7" s="405"/>
      <c r="F7" s="405"/>
      <c r="G7" s="105">
        <v>2</v>
      </c>
      <c r="H7" s="105">
        <v>3</v>
      </c>
      <c r="I7" s="104">
        <v>4</v>
      </c>
      <c r="J7" s="106">
        <v>5</v>
      </c>
      <c r="Q7" s="2">
        <f>IF(OR(MIN(RDG!I89:J101)&lt;0,MAX(RDG!I89:J101)&gt;0),1,0)</f>
        <v>0</v>
      </c>
      <c r="R7" s="73" t="s">
        <v>800</v>
      </c>
    </row>
    <row r="8" spans="1:18" s="2" customFormat="1" ht="13.5" customHeight="1">
      <c r="A8" s="411" t="s">
        <v>1836</v>
      </c>
      <c r="B8" s="411"/>
      <c r="C8" s="411"/>
      <c r="D8" s="411"/>
      <c r="E8" s="411"/>
      <c r="F8" s="411"/>
      <c r="G8" s="17">
        <v>125</v>
      </c>
      <c r="H8" s="18"/>
      <c r="I8" s="84">
        <f>SUM(I9:I13)</f>
        <v>5139512</v>
      </c>
      <c r="J8" s="84">
        <f>SUM(J9:J13)</f>
        <v>8020872</v>
      </c>
      <c r="Q8" s="2">
        <f>IF(OR(MIN(I70:J75)&lt;&gt;0,MAX(I70:J75)&lt;&gt;0),1,0)</f>
        <v>0</v>
      </c>
      <c r="R8" s="73" t="s">
        <v>2597</v>
      </c>
    </row>
    <row r="9" spans="1:10" s="2" customFormat="1" ht="13.5" customHeight="1">
      <c r="A9" s="386" t="s">
        <v>1434</v>
      </c>
      <c r="B9" s="386"/>
      <c r="C9" s="386"/>
      <c r="D9" s="386"/>
      <c r="E9" s="386"/>
      <c r="F9" s="386"/>
      <c r="G9" s="19">
        <v>126</v>
      </c>
      <c r="H9" s="20"/>
      <c r="I9" s="71">
        <v>121446</v>
      </c>
      <c r="J9" s="71">
        <v>0</v>
      </c>
    </row>
    <row r="10" spans="1:10" s="2" customFormat="1" ht="13.5" customHeight="1">
      <c r="A10" s="386" t="s">
        <v>730</v>
      </c>
      <c r="B10" s="386"/>
      <c r="C10" s="386"/>
      <c r="D10" s="386"/>
      <c r="E10" s="386"/>
      <c r="F10" s="386"/>
      <c r="G10" s="19">
        <v>127</v>
      </c>
      <c r="H10" s="20"/>
      <c r="I10" s="71">
        <v>1589347</v>
      </c>
      <c r="J10" s="71">
        <v>42543</v>
      </c>
    </row>
    <row r="11" spans="1:10" s="2" customFormat="1" ht="13.5" customHeight="1">
      <c r="A11" s="386" t="s">
        <v>1435</v>
      </c>
      <c r="B11" s="386"/>
      <c r="C11" s="386"/>
      <c r="D11" s="386"/>
      <c r="E11" s="386"/>
      <c r="F11" s="386"/>
      <c r="G11" s="19">
        <v>128</v>
      </c>
      <c r="H11" s="20"/>
      <c r="I11" s="71">
        <v>0</v>
      </c>
      <c r="J11" s="71">
        <v>0</v>
      </c>
    </row>
    <row r="12" spans="1:10" s="2" customFormat="1" ht="13.5" customHeight="1">
      <c r="A12" s="386" t="s">
        <v>1436</v>
      </c>
      <c r="B12" s="386"/>
      <c r="C12" s="386"/>
      <c r="D12" s="386"/>
      <c r="E12" s="386"/>
      <c r="F12" s="386"/>
      <c r="G12" s="19">
        <v>129</v>
      </c>
      <c r="H12" s="20"/>
      <c r="I12" s="71">
        <v>0</v>
      </c>
      <c r="J12" s="71">
        <v>8887</v>
      </c>
    </row>
    <row r="13" spans="1:10" s="2" customFormat="1" ht="13.5" customHeight="1">
      <c r="A13" s="386" t="s">
        <v>2510</v>
      </c>
      <c r="B13" s="386"/>
      <c r="C13" s="386"/>
      <c r="D13" s="386"/>
      <c r="E13" s="386"/>
      <c r="F13" s="386"/>
      <c r="G13" s="19">
        <v>130</v>
      </c>
      <c r="H13" s="20"/>
      <c r="I13" s="71">
        <v>3428719</v>
      </c>
      <c r="J13" s="71">
        <v>7969442</v>
      </c>
    </row>
    <row r="14" spans="1:10" s="2" customFormat="1" ht="13.5" customHeight="1">
      <c r="A14" s="384" t="s">
        <v>1837</v>
      </c>
      <c r="B14" s="384"/>
      <c r="C14" s="384"/>
      <c r="D14" s="384"/>
      <c r="E14" s="384"/>
      <c r="F14" s="384"/>
      <c r="G14" s="19">
        <v>131</v>
      </c>
      <c r="H14" s="20"/>
      <c r="I14" s="70">
        <f>I15+I16+I20+I24+I25+I26+I29+I36</f>
        <v>62480375</v>
      </c>
      <c r="J14" s="70">
        <f>J15+J16+J20+J24+J25+J26+J29+J36</f>
        <v>10185957</v>
      </c>
    </row>
    <row r="15" spans="1:12" s="2" customFormat="1" ht="13.5" customHeight="1">
      <c r="A15" s="386" t="s">
        <v>258</v>
      </c>
      <c r="B15" s="386"/>
      <c r="C15" s="386"/>
      <c r="D15" s="386"/>
      <c r="E15" s="386"/>
      <c r="F15" s="386"/>
      <c r="G15" s="19">
        <v>132</v>
      </c>
      <c r="H15" s="20"/>
      <c r="I15" s="71">
        <v>0</v>
      </c>
      <c r="J15" s="71">
        <v>0</v>
      </c>
      <c r="L15" s="2" t="s">
        <v>2591</v>
      </c>
    </row>
    <row r="16" spans="1:10" s="2" customFormat="1" ht="13.5" customHeight="1">
      <c r="A16" s="386" t="s">
        <v>1838</v>
      </c>
      <c r="B16" s="386"/>
      <c r="C16" s="386"/>
      <c r="D16" s="386"/>
      <c r="E16" s="386"/>
      <c r="F16" s="386"/>
      <c r="G16" s="19">
        <v>133</v>
      </c>
      <c r="H16" s="20"/>
      <c r="I16" s="70">
        <f>SUM(I17:I19)</f>
        <v>5197697</v>
      </c>
      <c r="J16" s="70">
        <f>SUM(J17:J19)</f>
        <v>2854103</v>
      </c>
    </row>
    <row r="17" spans="1:10" s="2" customFormat="1" ht="13.5" customHeight="1">
      <c r="A17" s="412" t="s">
        <v>504</v>
      </c>
      <c r="B17" s="412"/>
      <c r="C17" s="412"/>
      <c r="D17" s="412"/>
      <c r="E17" s="412"/>
      <c r="F17" s="412"/>
      <c r="G17" s="19">
        <v>134</v>
      </c>
      <c r="H17" s="20"/>
      <c r="I17" s="71">
        <v>505473</v>
      </c>
      <c r="J17" s="71">
        <v>502187</v>
      </c>
    </row>
    <row r="18" spans="1:10" s="2" customFormat="1" ht="13.5" customHeight="1">
      <c r="A18" s="412" t="s">
        <v>505</v>
      </c>
      <c r="B18" s="412"/>
      <c r="C18" s="412"/>
      <c r="D18" s="412"/>
      <c r="E18" s="412"/>
      <c r="F18" s="412"/>
      <c r="G18" s="19">
        <v>135</v>
      </c>
      <c r="H18" s="20"/>
      <c r="I18" s="71">
        <v>311065</v>
      </c>
      <c r="J18" s="71">
        <v>13757</v>
      </c>
    </row>
    <row r="19" spans="1:10" s="2" customFormat="1" ht="13.5" customHeight="1">
      <c r="A19" s="412" t="s">
        <v>1426</v>
      </c>
      <c r="B19" s="412"/>
      <c r="C19" s="412"/>
      <c r="D19" s="412"/>
      <c r="E19" s="412"/>
      <c r="F19" s="412"/>
      <c r="G19" s="19">
        <v>136</v>
      </c>
      <c r="H19" s="20"/>
      <c r="I19" s="71">
        <v>4381159</v>
      </c>
      <c r="J19" s="71">
        <v>2338159</v>
      </c>
    </row>
    <row r="20" spans="1:10" s="2" customFormat="1" ht="13.5" customHeight="1">
      <c r="A20" s="386" t="s">
        <v>1839</v>
      </c>
      <c r="B20" s="386"/>
      <c r="C20" s="386"/>
      <c r="D20" s="386"/>
      <c r="E20" s="386"/>
      <c r="F20" s="386"/>
      <c r="G20" s="19">
        <v>137</v>
      </c>
      <c r="H20" s="20"/>
      <c r="I20" s="70">
        <f>SUM(I21:I23)</f>
        <v>1283490</v>
      </c>
      <c r="J20" s="70">
        <f>SUM(J21:J23)</f>
        <v>936925</v>
      </c>
    </row>
    <row r="21" spans="1:10" s="2" customFormat="1" ht="13.5" customHeight="1">
      <c r="A21" s="412" t="s">
        <v>724</v>
      </c>
      <c r="B21" s="412"/>
      <c r="C21" s="412"/>
      <c r="D21" s="412"/>
      <c r="E21" s="412"/>
      <c r="F21" s="412"/>
      <c r="G21" s="19">
        <v>138</v>
      </c>
      <c r="H21" s="20"/>
      <c r="I21" s="71">
        <v>798355</v>
      </c>
      <c r="J21" s="71">
        <v>594504</v>
      </c>
    </row>
    <row r="22" spans="1:10" s="2" customFormat="1" ht="13.5" customHeight="1">
      <c r="A22" s="412" t="s">
        <v>961</v>
      </c>
      <c r="B22" s="412"/>
      <c r="C22" s="412"/>
      <c r="D22" s="412"/>
      <c r="E22" s="412"/>
      <c r="F22" s="412"/>
      <c r="G22" s="19">
        <v>139</v>
      </c>
      <c r="H22" s="20"/>
      <c r="I22" s="71">
        <v>300194</v>
      </c>
      <c r="J22" s="71">
        <v>84752</v>
      </c>
    </row>
    <row r="23" spans="1:10" s="2" customFormat="1" ht="13.5" customHeight="1">
      <c r="A23" s="412" t="s">
        <v>962</v>
      </c>
      <c r="B23" s="412"/>
      <c r="C23" s="412"/>
      <c r="D23" s="412"/>
      <c r="E23" s="412"/>
      <c r="F23" s="412"/>
      <c r="G23" s="19">
        <v>140</v>
      </c>
      <c r="H23" s="20"/>
      <c r="I23" s="71">
        <v>184941</v>
      </c>
      <c r="J23" s="71">
        <v>257669</v>
      </c>
    </row>
    <row r="24" spans="1:10" s="2" customFormat="1" ht="13.5" customHeight="1">
      <c r="A24" s="386" t="s">
        <v>259</v>
      </c>
      <c r="B24" s="386"/>
      <c r="C24" s="386"/>
      <c r="D24" s="386"/>
      <c r="E24" s="386"/>
      <c r="F24" s="386"/>
      <c r="G24" s="19">
        <v>141</v>
      </c>
      <c r="H24" s="20"/>
      <c r="I24" s="71">
        <v>1150558</v>
      </c>
      <c r="J24" s="71">
        <v>1678256</v>
      </c>
    </row>
    <row r="25" spans="1:10" s="2" customFormat="1" ht="13.5" customHeight="1">
      <c r="A25" s="386" t="s">
        <v>260</v>
      </c>
      <c r="B25" s="386"/>
      <c r="C25" s="386"/>
      <c r="D25" s="386"/>
      <c r="E25" s="386"/>
      <c r="F25" s="386"/>
      <c r="G25" s="19">
        <v>142</v>
      </c>
      <c r="H25" s="20"/>
      <c r="I25" s="71">
        <v>623070</v>
      </c>
      <c r="J25" s="71">
        <v>330572</v>
      </c>
    </row>
    <row r="26" spans="1:12" s="2" customFormat="1" ht="13.5" customHeight="1">
      <c r="A26" s="386" t="s">
        <v>1840</v>
      </c>
      <c r="B26" s="386"/>
      <c r="C26" s="386"/>
      <c r="D26" s="386"/>
      <c r="E26" s="386"/>
      <c r="F26" s="386"/>
      <c r="G26" s="19">
        <v>143</v>
      </c>
      <c r="H26" s="20"/>
      <c r="I26" s="70">
        <f>SUM(I27:I28)</f>
        <v>53826391</v>
      </c>
      <c r="J26" s="70">
        <f>SUM(J27:J28)</f>
        <v>0</v>
      </c>
      <c r="L26" s="2" t="s">
        <v>2591</v>
      </c>
    </row>
    <row r="27" spans="1:12" s="2" customFormat="1" ht="13.5" customHeight="1">
      <c r="A27" s="412" t="s">
        <v>506</v>
      </c>
      <c r="B27" s="412"/>
      <c r="C27" s="412"/>
      <c r="D27" s="412"/>
      <c r="E27" s="412"/>
      <c r="F27" s="412"/>
      <c r="G27" s="19">
        <v>144</v>
      </c>
      <c r="H27" s="20"/>
      <c r="I27" s="71">
        <v>27750</v>
      </c>
      <c r="J27" s="71">
        <v>0</v>
      </c>
      <c r="L27" s="2" t="s">
        <v>2591</v>
      </c>
    </row>
    <row r="28" spans="1:12" s="2" customFormat="1" ht="13.5" customHeight="1">
      <c r="A28" s="412" t="s">
        <v>507</v>
      </c>
      <c r="B28" s="412"/>
      <c r="C28" s="412"/>
      <c r="D28" s="412"/>
      <c r="E28" s="412"/>
      <c r="F28" s="412"/>
      <c r="G28" s="19">
        <v>145</v>
      </c>
      <c r="H28" s="20"/>
      <c r="I28" s="71">
        <v>53798641</v>
      </c>
      <c r="J28" s="71">
        <v>0</v>
      </c>
      <c r="L28" s="2" t="s">
        <v>2591</v>
      </c>
    </row>
    <row r="29" spans="1:12" s="2" customFormat="1" ht="13.5" customHeight="1">
      <c r="A29" s="386" t="s">
        <v>1841</v>
      </c>
      <c r="B29" s="386"/>
      <c r="C29" s="386"/>
      <c r="D29" s="386"/>
      <c r="E29" s="386"/>
      <c r="F29" s="386"/>
      <c r="G29" s="19">
        <v>146</v>
      </c>
      <c r="H29" s="20"/>
      <c r="I29" s="70">
        <f>SUM(I30:I35)</f>
        <v>0</v>
      </c>
      <c r="J29" s="70">
        <f>SUM(J30:J35)</f>
        <v>0</v>
      </c>
      <c r="L29" s="2" t="s">
        <v>2591</v>
      </c>
    </row>
    <row r="30" spans="1:12" s="2" customFormat="1" ht="13.5" customHeight="1">
      <c r="A30" s="412" t="s">
        <v>508</v>
      </c>
      <c r="B30" s="412"/>
      <c r="C30" s="412"/>
      <c r="D30" s="412"/>
      <c r="E30" s="412"/>
      <c r="F30" s="412"/>
      <c r="G30" s="19">
        <v>147</v>
      </c>
      <c r="H30" s="20"/>
      <c r="I30" s="71">
        <v>0</v>
      </c>
      <c r="J30" s="71">
        <v>0</v>
      </c>
      <c r="L30" s="2" t="s">
        <v>2591</v>
      </c>
    </row>
    <row r="31" spans="1:12" s="2" customFormat="1" ht="13.5" customHeight="1">
      <c r="A31" s="412" t="s">
        <v>509</v>
      </c>
      <c r="B31" s="412"/>
      <c r="C31" s="412"/>
      <c r="D31" s="412"/>
      <c r="E31" s="412"/>
      <c r="F31" s="412"/>
      <c r="G31" s="19">
        <v>148</v>
      </c>
      <c r="H31" s="20"/>
      <c r="I31" s="71">
        <v>0</v>
      </c>
      <c r="J31" s="71">
        <v>0</v>
      </c>
      <c r="L31" s="2" t="s">
        <v>2591</v>
      </c>
    </row>
    <row r="32" spans="1:12" s="2" customFormat="1" ht="13.5" customHeight="1">
      <c r="A32" s="412" t="s">
        <v>510</v>
      </c>
      <c r="B32" s="412"/>
      <c r="C32" s="412"/>
      <c r="D32" s="412"/>
      <c r="E32" s="412"/>
      <c r="F32" s="412"/>
      <c r="G32" s="19">
        <v>149</v>
      </c>
      <c r="H32" s="20"/>
      <c r="I32" s="71">
        <v>0</v>
      </c>
      <c r="J32" s="71">
        <v>0</v>
      </c>
      <c r="L32" s="2" t="s">
        <v>2591</v>
      </c>
    </row>
    <row r="33" spans="1:12" s="2" customFormat="1" ht="13.5" customHeight="1">
      <c r="A33" s="412" t="s">
        <v>511</v>
      </c>
      <c r="B33" s="412"/>
      <c r="C33" s="412"/>
      <c r="D33" s="412"/>
      <c r="E33" s="412"/>
      <c r="F33" s="412"/>
      <c r="G33" s="19">
        <v>150</v>
      </c>
      <c r="H33" s="20"/>
      <c r="I33" s="71">
        <v>0</v>
      </c>
      <c r="J33" s="71">
        <v>0</v>
      </c>
      <c r="L33" s="2" t="s">
        <v>2591</v>
      </c>
    </row>
    <row r="34" spans="1:12" s="2" customFormat="1" ht="13.5" customHeight="1">
      <c r="A34" s="412" t="s">
        <v>512</v>
      </c>
      <c r="B34" s="412"/>
      <c r="C34" s="412"/>
      <c r="D34" s="412"/>
      <c r="E34" s="412"/>
      <c r="F34" s="412"/>
      <c r="G34" s="19">
        <v>151</v>
      </c>
      <c r="H34" s="20"/>
      <c r="I34" s="71">
        <v>0</v>
      </c>
      <c r="J34" s="71">
        <v>0</v>
      </c>
      <c r="L34" s="2" t="s">
        <v>2591</v>
      </c>
    </row>
    <row r="35" spans="1:12" s="2" customFormat="1" ht="13.5" customHeight="1">
      <c r="A35" s="412" t="s">
        <v>513</v>
      </c>
      <c r="B35" s="412"/>
      <c r="C35" s="412"/>
      <c r="D35" s="412"/>
      <c r="E35" s="412"/>
      <c r="F35" s="412"/>
      <c r="G35" s="19">
        <v>152</v>
      </c>
      <c r="H35" s="20"/>
      <c r="I35" s="71">
        <v>0</v>
      </c>
      <c r="J35" s="71">
        <v>0</v>
      </c>
      <c r="L35" s="2" t="s">
        <v>2591</v>
      </c>
    </row>
    <row r="36" spans="1:10" s="2" customFormat="1" ht="13.5" customHeight="1">
      <c r="A36" s="386" t="s">
        <v>1692</v>
      </c>
      <c r="B36" s="386"/>
      <c r="C36" s="386"/>
      <c r="D36" s="386"/>
      <c r="E36" s="386"/>
      <c r="F36" s="386"/>
      <c r="G36" s="19">
        <v>153</v>
      </c>
      <c r="H36" s="20"/>
      <c r="I36" s="71">
        <v>399169</v>
      </c>
      <c r="J36" s="71">
        <v>4386101</v>
      </c>
    </row>
    <row r="37" spans="1:10" s="2" customFormat="1" ht="13.5" customHeight="1">
      <c r="A37" s="384" t="s">
        <v>1842</v>
      </c>
      <c r="B37" s="384"/>
      <c r="C37" s="384"/>
      <c r="D37" s="384"/>
      <c r="E37" s="384"/>
      <c r="F37" s="384"/>
      <c r="G37" s="19">
        <v>154</v>
      </c>
      <c r="H37" s="20"/>
      <c r="I37" s="70">
        <f>SUM(I38:I47)</f>
        <v>780310</v>
      </c>
      <c r="J37" s="70">
        <f>SUM(J38:J47)</f>
        <v>18577</v>
      </c>
    </row>
    <row r="38" spans="1:10" s="2" customFormat="1" ht="13.5" customHeight="1">
      <c r="A38" s="386" t="s">
        <v>1433</v>
      </c>
      <c r="B38" s="386"/>
      <c r="C38" s="386"/>
      <c r="D38" s="386"/>
      <c r="E38" s="386"/>
      <c r="F38" s="386"/>
      <c r="G38" s="19">
        <v>155</v>
      </c>
      <c r="H38" s="20"/>
      <c r="I38" s="71">
        <v>0</v>
      </c>
      <c r="J38" s="71">
        <v>0</v>
      </c>
    </row>
    <row r="39" spans="1:10" s="2" customFormat="1" ht="24" customHeight="1">
      <c r="A39" s="386" t="s">
        <v>1561</v>
      </c>
      <c r="B39" s="386"/>
      <c r="C39" s="386"/>
      <c r="D39" s="386"/>
      <c r="E39" s="386"/>
      <c r="F39" s="386"/>
      <c r="G39" s="19">
        <v>156</v>
      </c>
      <c r="H39" s="20"/>
      <c r="I39" s="71">
        <v>0</v>
      </c>
      <c r="J39" s="71">
        <v>0</v>
      </c>
    </row>
    <row r="40" spans="1:10" s="2" customFormat="1" ht="24" customHeight="1">
      <c r="A40" s="386" t="s">
        <v>1432</v>
      </c>
      <c r="B40" s="386"/>
      <c r="C40" s="386"/>
      <c r="D40" s="386"/>
      <c r="E40" s="386"/>
      <c r="F40" s="386"/>
      <c r="G40" s="19">
        <v>157</v>
      </c>
      <c r="H40" s="20"/>
      <c r="I40" s="71">
        <v>0</v>
      </c>
      <c r="J40" s="71">
        <v>0</v>
      </c>
    </row>
    <row r="41" spans="1:10" s="2" customFormat="1" ht="13.5" customHeight="1">
      <c r="A41" s="386" t="s">
        <v>1431</v>
      </c>
      <c r="B41" s="386"/>
      <c r="C41" s="386"/>
      <c r="D41" s="386"/>
      <c r="E41" s="386"/>
      <c r="F41" s="386"/>
      <c r="G41" s="19">
        <v>158</v>
      </c>
      <c r="H41" s="20"/>
      <c r="I41" s="71">
        <v>759095</v>
      </c>
      <c r="J41" s="71">
        <v>0</v>
      </c>
    </row>
    <row r="42" spans="1:10" s="2" customFormat="1" ht="24" customHeight="1">
      <c r="A42" s="386" t="s">
        <v>1562</v>
      </c>
      <c r="B42" s="386"/>
      <c r="C42" s="386"/>
      <c r="D42" s="386"/>
      <c r="E42" s="386"/>
      <c r="F42" s="386"/>
      <c r="G42" s="19">
        <v>159</v>
      </c>
      <c r="H42" s="20"/>
      <c r="I42" s="71">
        <v>0</v>
      </c>
      <c r="J42" s="71">
        <v>0</v>
      </c>
    </row>
    <row r="43" spans="1:10" s="2" customFormat="1" ht="13.5" customHeight="1">
      <c r="A43" s="386" t="s">
        <v>1430</v>
      </c>
      <c r="B43" s="386"/>
      <c r="C43" s="386"/>
      <c r="D43" s="386"/>
      <c r="E43" s="386"/>
      <c r="F43" s="386"/>
      <c r="G43" s="19">
        <v>160</v>
      </c>
      <c r="H43" s="20"/>
      <c r="I43" s="71">
        <v>0</v>
      </c>
      <c r="J43" s="71">
        <v>0</v>
      </c>
    </row>
    <row r="44" spans="1:10" s="2" customFormat="1" ht="13.5" customHeight="1">
      <c r="A44" s="386" t="s">
        <v>1429</v>
      </c>
      <c r="B44" s="386"/>
      <c r="C44" s="386"/>
      <c r="D44" s="386"/>
      <c r="E44" s="386"/>
      <c r="F44" s="386"/>
      <c r="G44" s="19">
        <v>161</v>
      </c>
      <c r="H44" s="20"/>
      <c r="I44" s="71">
        <v>21055</v>
      </c>
      <c r="J44" s="71">
        <v>13716</v>
      </c>
    </row>
    <row r="45" spans="1:10" s="2" customFormat="1" ht="13.5" customHeight="1">
      <c r="A45" s="386" t="s">
        <v>1428</v>
      </c>
      <c r="B45" s="386"/>
      <c r="C45" s="386"/>
      <c r="D45" s="386"/>
      <c r="E45" s="386"/>
      <c r="F45" s="386"/>
      <c r="G45" s="19">
        <v>162</v>
      </c>
      <c r="H45" s="20"/>
      <c r="I45" s="71">
        <v>160</v>
      </c>
      <c r="J45" s="71">
        <v>4861</v>
      </c>
    </row>
    <row r="46" spans="1:10" s="2" customFormat="1" ht="13.5" customHeight="1">
      <c r="A46" s="386" t="s">
        <v>1427</v>
      </c>
      <c r="B46" s="386"/>
      <c r="C46" s="386"/>
      <c r="D46" s="386"/>
      <c r="E46" s="386"/>
      <c r="F46" s="386"/>
      <c r="G46" s="19">
        <v>163</v>
      </c>
      <c r="H46" s="20"/>
      <c r="I46" s="71">
        <v>0</v>
      </c>
      <c r="J46" s="71">
        <v>0</v>
      </c>
    </row>
    <row r="47" spans="1:10" s="2" customFormat="1" ht="13.5" customHeight="1">
      <c r="A47" s="386" t="s">
        <v>1423</v>
      </c>
      <c r="B47" s="386"/>
      <c r="C47" s="386"/>
      <c r="D47" s="386"/>
      <c r="E47" s="386"/>
      <c r="F47" s="386"/>
      <c r="G47" s="19">
        <v>164</v>
      </c>
      <c r="H47" s="20"/>
      <c r="I47" s="71">
        <v>0</v>
      </c>
      <c r="J47" s="71">
        <v>0</v>
      </c>
    </row>
    <row r="48" spans="1:10" s="2" customFormat="1" ht="13.5" customHeight="1">
      <c r="A48" s="384" t="s">
        <v>1843</v>
      </c>
      <c r="B48" s="384"/>
      <c r="C48" s="384"/>
      <c r="D48" s="384"/>
      <c r="E48" s="384"/>
      <c r="F48" s="384"/>
      <c r="G48" s="19">
        <v>165</v>
      </c>
      <c r="H48" s="20"/>
      <c r="I48" s="70">
        <f>SUM(I49:I55)</f>
        <v>187946</v>
      </c>
      <c r="J48" s="70">
        <f>SUM(J49:J55)</f>
        <v>87234</v>
      </c>
    </row>
    <row r="49" spans="1:10" s="2" customFormat="1" ht="13.5" customHeight="1">
      <c r="A49" s="386" t="s">
        <v>1424</v>
      </c>
      <c r="B49" s="386"/>
      <c r="C49" s="386"/>
      <c r="D49" s="386"/>
      <c r="E49" s="386"/>
      <c r="F49" s="386"/>
      <c r="G49" s="19">
        <v>166</v>
      </c>
      <c r="H49" s="20"/>
      <c r="I49" s="71">
        <v>0</v>
      </c>
      <c r="J49" s="71">
        <v>0</v>
      </c>
    </row>
    <row r="50" spans="1:10" s="2" customFormat="1" ht="13.5" customHeight="1">
      <c r="A50" s="406" t="s">
        <v>1437</v>
      </c>
      <c r="B50" s="406"/>
      <c r="C50" s="406"/>
      <c r="D50" s="406"/>
      <c r="E50" s="406"/>
      <c r="F50" s="406"/>
      <c r="G50" s="19">
        <v>167</v>
      </c>
      <c r="H50" s="20"/>
      <c r="I50" s="71">
        <v>0</v>
      </c>
      <c r="J50" s="71">
        <v>0</v>
      </c>
    </row>
    <row r="51" spans="1:10" s="2" customFormat="1" ht="13.5" customHeight="1">
      <c r="A51" s="406" t="s">
        <v>1438</v>
      </c>
      <c r="B51" s="406"/>
      <c r="C51" s="406"/>
      <c r="D51" s="406"/>
      <c r="E51" s="406"/>
      <c r="F51" s="406"/>
      <c r="G51" s="19">
        <v>168</v>
      </c>
      <c r="H51" s="20"/>
      <c r="I51" s="71">
        <v>187946</v>
      </c>
      <c r="J51" s="71">
        <v>86740</v>
      </c>
    </row>
    <row r="52" spans="1:10" s="2" customFormat="1" ht="13.5" customHeight="1">
      <c r="A52" s="406" t="s">
        <v>1439</v>
      </c>
      <c r="B52" s="406"/>
      <c r="C52" s="406"/>
      <c r="D52" s="406"/>
      <c r="E52" s="406"/>
      <c r="F52" s="406"/>
      <c r="G52" s="19">
        <v>169</v>
      </c>
      <c r="H52" s="20"/>
      <c r="I52" s="71">
        <v>0</v>
      </c>
      <c r="J52" s="71">
        <v>494</v>
      </c>
    </row>
    <row r="53" spans="1:10" s="2" customFormat="1" ht="13.5" customHeight="1">
      <c r="A53" s="406" t="s">
        <v>1440</v>
      </c>
      <c r="B53" s="406"/>
      <c r="C53" s="406"/>
      <c r="D53" s="406"/>
      <c r="E53" s="406"/>
      <c r="F53" s="406"/>
      <c r="G53" s="19">
        <v>170</v>
      </c>
      <c r="H53" s="20"/>
      <c r="I53" s="71">
        <v>0</v>
      </c>
      <c r="J53" s="71">
        <v>0</v>
      </c>
    </row>
    <row r="54" spans="1:12" s="2" customFormat="1" ht="13.5" customHeight="1">
      <c r="A54" s="406" t="s">
        <v>1441</v>
      </c>
      <c r="B54" s="406"/>
      <c r="C54" s="406"/>
      <c r="D54" s="406"/>
      <c r="E54" s="406"/>
      <c r="F54" s="406"/>
      <c r="G54" s="19">
        <v>171</v>
      </c>
      <c r="H54" s="20"/>
      <c r="I54" s="71">
        <v>0</v>
      </c>
      <c r="J54" s="71">
        <v>0</v>
      </c>
      <c r="L54" s="2" t="s">
        <v>2591</v>
      </c>
    </row>
    <row r="55" spans="1:10" s="2" customFormat="1" ht="13.5" customHeight="1">
      <c r="A55" s="406" t="s">
        <v>1442</v>
      </c>
      <c r="B55" s="406"/>
      <c r="C55" s="406"/>
      <c r="D55" s="406"/>
      <c r="E55" s="406"/>
      <c r="F55" s="406"/>
      <c r="G55" s="19">
        <v>172</v>
      </c>
      <c r="H55" s="20"/>
      <c r="I55" s="71">
        <v>0</v>
      </c>
      <c r="J55" s="71">
        <v>0</v>
      </c>
    </row>
    <row r="56" spans="1:10" s="2" customFormat="1" ht="24.75" customHeight="1">
      <c r="A56" s="384" t="s">
        <v>1563</v>
      </c>
      <c r="B56" s="384"/>
      <c r="C56" s="384"/>
      <c r="D56" s="384"/>
      <c r="E56" s="384"/>
      <c r="F56" s="384"/>
      <c r="G56" s="19">
        <v>173</v>
      </c>
      <c r="H56" s="20"/>
      <c r="I56" s="71">
        <v>0</v>
      </c>
      <c r="J56" s="71">
        <v>0</v>
      </c>
    </row>
    <row r="57" spans="1:10" s="2" customFormat="1" ht="13.5" customHeight="1">
      <c r="A57" s="384" t="s">
        <v>1443</v>
      </c>
      <c r="B57" s="384"/>
      <c r="C57" s="384"/>
      <c r="D57" s="384"/>
      <c r="E57" s="384"/>
      <c r="F57" s="384"/>
      <c r="G57" s="19">
        <v>174</v>
      </c>
      <c r="H57" s="20"/>
      <c r="I57" s="71">
        <v>0</v>
      </c>
      <c r="J57" s="71">
        <v>0</v>
      </c>
    </row>
    <row r="58" spans="1:10" s="2" customFormat="1" ht="24.75" customHeight="1">
      <c r="A58" s="384" t="s">
        <v>1444</v>
      </c>
      <c r="B58" s="384"/>
      <c r="C58" s="384"/>
      <c r="D58" s="384"/>
      <c r="E58" s="384"/>
      <c r="F58" s="384"/>
      <c r="G58" s="19">
        <v>175</v>
      </c>
      <c r="H58" s="20"/>
      <c r="I58" s="71">
        <v>0</v>
      </c>
      <c r="J58" s="71">
        <v>0</v>
      </c>
    </row>
    <row r="59" spans="1:10" s="2" customFormat="1" ht="13.5" customHeight="1">
      <c r="A59" s="384" t="s">
        <v>1445</v>
      </c>
      <c r="B59" s="384"/>
      <c r="C59" s="384"/>
      <c r="D59" s="384"/>
      <c r="E59" s="384"/>
      <c r="F59" s="384"/>
      <c r="G59" s="19">
        <v>176</v>
      </c>
      <c r="H59" s="20"/>
      <c r="I59" s="71">
        <v>0</v>
      </c>
      <c r="J59" s="71">
        <v>0</v>
      </c>
    </row>
    <row r="60" spans="1:10" s="2" customFormat="1" ht="13.5" customHeight="1">
      <c r="A60" s="384" t="s">
        <v>1844</v>
      </c>
      <c r="B60" s="384"/>
      <c r="C60" s="384"/>
      <c r="D60" s="384"/>
      <c r="E60" s="384"/>
      <c r="F60" s="384"/>
      <c r="G60" s="19">
        <v>177</v>
      </c>
      <c r="H60" s="20"/>
      <c r="I60" s="70">
        <f>I8+I37+I56+I57</f>
        <v>5919822</v>
      </c>
      <c r="J60" s="70">
        <f>J8+J37+J56+J57</f>
        <v>8039449</v>
      </c>
    </row>
    <row r="61" spans="1:10" s="2" customFormat="1" ht="13.5" customHeight="1">
      <c r="A61" s="384" t="s">
        <v>1845</v>
      </c>
      <c r="B61" s="384"/>
      <c r="C61" s="384"/>
      <c r="D61" s="384"/>
      <c r="E61" s="384"/>
      <c r="F61" s="384"/>
      <c r="G61" s="19">
        <v>178</v>
      </c>
      <c r="H61" s="20"/>
      <c r="I61" s="70">
        <f>I14+I48+I58+I59</f>
        <v>62668321</v>
      </c>
      <c r="J61" s="70">
        <f>J14+J48+J58+J59</f>
        <v>10273191</v>
      </c>
    </row>
    <row r="62" spans="1:12" s="2" customFormat="1" ht="13.5" customHeight="1">
      <c r="A62" s="384" t="s">
        <v>2581</v>
      </c>
      <c r="B62" s="384"/>
      <c r="C62" s="384"/>
      <c r="D62" s="384"/>
      <c r="E62" s="384"/>
      <c r="F62" s="384"/>
      <c r="G62" s="19">
        <v>179</v>
      </c>
      <c r="H62" s="20"/>
      <c r="I62" s="70">
        <f>I60-I61</f>
        <v>-56748499</v>
      </c>
      <c r="J62" s="70">
        <f>J60-J61</f>
        <v>-2233742</v>
      </c>
      <c r="L62" s="2" t="s">
        <v>2591</v>
      </c>
    </row>
    <row r="63" spans="1:10" s="2" customFormat="1" ht="13.5" customHeight="1">
      <c r="A63" s="406" t="s">
        <v>2658</v>
      </c>
      <c r="B63" s="406"/>
      <c r="C63" s="406"/>
      <c r="D63" s="406"/>
      <c r="E63" s="406"/>
      <c r="F63" s="406"/>
      <c r="G63" s="19">
        <v>180</v>
      </c>
      <c r="H63" s="20"/>
      <c r="I63" s="70">
        <f>IF(I60&gt;I61,I60-I61,0)</f>
        <v>0</v>
      </c>
      <c r="J63" s="70">
        <f>IF(J60&gt;J61,J60-J61,0)</f>
        <v>0</v>
      </c>
    </row>
    <row r="64" spans="1:10" s="2" customFormat="1" ht="13.5" customHeight="1">
      <c r="A64" s="406" t="s">
        <v>778</v>
      </c>
      <c r="B64" s="406"/>
      <c r="C64" s="406"/>
      <c r="D64" s="406"/>
      <c r="E64" s="406"/>
      <c r="F64" s="406"/>
      <c r="G64" s="19">
        <v>181</v>
      </c>
      <c r="H64" s="20"/>
      <c r="I64" s="70">
        <f>IF(I61&gt;I60,I61-I60,0)</f>
        <v>56748499</v>
      </c>
      <c r="J64" s="70">
        <f>IF(J61&gt;J60,J61-J60,0)</f>
        <v>2233742</v>
      </c>
    </row>
    <row r="65" spans="1:12" s="2" customFormat="1" ht="13.5" customHeight="1">
      <c r="A65" s="384" t="s">
        <v>2620</v>
      </c>
      <c r="B65" s="384"/>
      <c r="C65" s="384"/>
      <c r="D65" s="384"/>
      <c r="E65" s="384"/>
      <c r="F65" s="384"/>
      <c r="G65" s="19">
        <v>182</v>
      </c>
      <c r="H65" s="20"/>
      <c r="I65" s="71">
        <v>4036217</v>
      </c>
      <c r="J65" s="71">
        <v>660441</v>
      </c>
      <c r="L65" s="2" t="s">
        <v>2591</v>
      </c>
    </row>
    <row r="66" spans="1:12" s="2" customFormat="1" ht="13.5" customHeight="1">
      <c r="A66" s="384" t="s">
        <v>2582</v>
      </c>
      <c r="B66" s="384"/>
      <c r="C66" s="384"/>
      <c r="D66" s="384"/>
      <c r="E66" s="384"/>
      <c r="F66" s="384"/>
      <c r="G66" s="19">
        <v>183</v>
      </c>
      <c r="H66" s="20"/>
      <c r="I66" s="70">
        <f>I62-I65</f>
        <v>-60784716</v>
      </c>
      <c r="J66" s="70">
        <f>J62-J65</f>
        <v>-2894183</v>
      </c>
      <c r="L66" s="2" t="s">
        <v>2591</v>
      </c>
    </row>
    <row r="67" spans="1:10" s="2" customFormat="1" ht="13.5" customHeight="1">
      <c r="A67" s="406" t="s">
        <v>779</v>
      </c>
      <c r="B67" s="406"/>
      <c r="C67" s="406"/>
      <c r="D67" s="406"/>
      <c r="E67" s="406"/>
      <c r="F67" s="406"/>
      <c r="G67" s="19">
        <v>184</v>
      </c>
      <c r="H67" s="20"/>
      <c r="I67" s="70">
        <f>IF(I66&gt;0,I66,0)</f>
        <v>0</v>
      </c>
      <c r="J67" s="70">
        <f>IF(J66&gt;0,J66,0)</f>
        <v>0</v>
      </c>
    </row>
    <row r="68" spans="1:10" s="2" customFormat="1" ht="13.5" customHeight="1">
      <c r="A68" s="407" t="s">
        <v>1472</v>
      </c>
      <c r="B68" s="407"/>
      <c r="C68" s="407"/>
      <c r="D68" s="407"/>
      <c r="E68" s="407"/>
      <c r="F68" s="407"/>
      <c r="G68" s="21">
        <v>185</v>
      </c>
      <c r="H68" s="22"/>
      <c r="I68" s="85">
        <f>IF(I66&lt;0,-I66,0)</f>
        <v>60784716</v>
      </c>
      <c r="J68" s="85">
        <f>IF(J66&lt;0,-J66,0)</f>
        <v>2894183</v>
      </c>
    </row>
    <row r="69" spans="1:10" s="2" customFormat="1" ht="15" customHeight="1">
      <c r="A69" s="388" t="s">
        <v>1425</v>
      </c>
      <c r="B69" s="388"/>
      <c r="C69" s="388"/>
      <c r="D69" s="388"/>
      <c r="E69" s="388"/>
      <c r="F69" s="388"/>
      <c r="G69" s="410"/>
      <c r="H69" s="410"/>
      <c r="I69" s="410"/>
      <c r="J69" s="410"/>
    </row>
    <row r="70" spans="1:12" s="2" customFormat="1" ht="25.5" customHeight="1">
      <c r="A70" s="384" t="s">
        <v>1564</v>
      </c>
      <c r="B70" s="384"/>
      <c r="C70" s="384"/>
      <c r="D70" s="384"/>
      <c r="E70" s="384"/>
      <c r="F70" s="384"/>
      <c r="G70" s="19">
        <v>186</v>
      </c>
      <c r="H70" s="20"/>
      <c r="I70" s="70">
        <f>I71-I72</f>
        <v>0</v>
      </c>
      <c r="J70" s="70">
        <f>J71-J72</f>
        <v>0</v>
      </c>
      <c r="L70" s="2" t="s">
        <v>2591</v>
      </c>
    </row>
    <row r="71" spans="1:10" s="2" customFormat="1" ht="13.5" customHeight="1">
      <c r="A71" s="406" t="s">
        <v>2059</v>
      </c>
      <c r="B71" s="406"/>
      <c r="C71" s="406"/>
      <c r="D71" s="406"/>
      <c r="E71" s="406"/>
      <c r="F71" s="406"/>
      <c r="G71" s="19">
        <v>187</v>
      </c>
      <c r="H71" s="20"/>
      <c r="I71" s="71">
        <v>0</v>
      </c>
      <c r="J71" s="71">
        <v>0</v>
      </c>
    </row>
    <row r="72" spans="1:10" s="2" customFormat="1" ht="13.5" customHeight="1">
      <c r="A72" s="406" t="s">
        <v>2060</v>
      </c>
      <c r="B72" s="406"/>
      <c r="C72" s="406"/>
      <c r="D72" s="406"/>
      <c r="E72" s="406"/>
      <c r="F72" s="406"/>
      <c r="G72" s="19">
        <v>188</v>
      </c>
      <c r="H72" s="20"/>
      <c r="I72" s="71">
        <v>0</v>
      </c>
      <c r="J72" s="71">
        <v>0</v>
      </c>
    </row>
    <row r="73" spans="1:12" s="2" customFormat="1" ht="13.5" customHeight="1">
      <c r="A73" s="384" t="s">
        <v>1446</v>
      </c>
      <c r="B73" s="384"/>
      <c r="C73" s="384"/>
      <c r="D73" s="384"/>
      <c r="E73" s="384"/>
      <c r="F73" s="384"/>
      <c r="G73" s="19">
        <v>189</v>
      </c>
      <c r="H73" s="20"/>
      <c r="I73" s="71">
        <v>0</v>
      </c>
      <c r="J73" s="71">
        <v>0</v>
      </c>
      <c r="L73" s="2" t="s">
        <v>2591</v>
      </c>
    </row>
    <row r="74" spans="1:10" s="2" customFormat="1" ht="13.5" customHeight="1">
      <c r="A74" s="406" t="s">
        <v>1728</v>
      </c>
      <c r="B74" s="406"/>
      <c r="C74" s="406"/>
      <c r="D74" s="406"/>
      <c r="E74" s="406"/>
      <c r="F74" s="406"/>
      <c r="G74" s="19">
        <v>190</v>
      </c>
      <c r="H74" s="20"/>
      <c r="I74" s="70">
        <f>IF(I70-I73&gt;0,I70-I73,0)</f>
        <v>0</v>
      </c>
      <c r="J74" s="70">
        <f>IF(J70-J73&gt;0,J70-J73,0)</f>
        <v>0</v>
      </c>
    </row>
    <row r="75" spans="1:10" s="2" customFormat="1" ht="13.5" customHeight="1">
      <c r="A75" s="407" t="s">
        <v>1846</v>
      </c>
      <c r="B75" s="407"/>
      <c r="C75" s="407"/>
      <c r="D75" s="407"/>
      <c r="E75" s="407"/>
      <c r="F75" s="407"/>
      <c r="G75" s="21">
        <v>191</v>
      </c>
      <c r="H75" s="22"/>
      <c r="I75" s="85">
        <f>IF(I73-I70&gt;0,I73-I70,0)</f>
        <v>0</v>
      </c>
      <c r="J75" s="85">
        <f>IF(J73-J70&gt;0,J73-J70,0)</f>
        <v>0</v>
      </c>
    </row>
    <row r="76" spans="1:10" s="2" customFormat="1" ht="15" customHeight="1">
      <c r="A76" s="388" t="s">
        <v>1447</v>
      </c>
      <c r="B76" s="388"/>
      <c r="C76" s="388"/>
      <c r="D76" s="388"/>
      <c r="E76" s="388"/>
      <c r="F76" s="388"/>
      <c r="G76" s="410"/>
      <c r="H76" s="410"/>
      <c r="I76" s="410"/>
      <c r="J76" s="410"/>
    </row>
    <row r="77" spans="1:12" s="2" customFormat="1" ht="13.5" customHeight="1">
      <c r="A77" s="384" t="s">
        <v>1732</v>
      </c>
      <c r="B77" s="384"/>
      <c r="C77" s="384"/>
      <c r="D77" s="384"/>
      <c r="E77" s="384"/>
      <c r="F77" s="384"/>
      <c r="G77" s="19">
        <v>192</v>
      </c>
      <c r="H77" s="20"/>
      <c r="I77" s="70">
        <f>(I62+I70)*$Q$8</f>
        <v>0</v>
      </c>
      <c r="J77" s="70">
        <f>(J62+J70)*$Q$8</f>
        <v>0</v>
      </c>
      <c r="L77" s="2" t="s">
        <v>2591</v>
      </c>
    </row>
    <row r="78" spans="1:10" s="2" customFormat="1" ht="13.5" customHeight="1">
      <c r="A78" s="406" t="s">
        <v>2007</v>
      </c>
      <c r="B78" s="406"/>
      <c r="C78" s="406"/>
      <c r="D78" s="406"/>
      <c r="E78" s="406"/>
      <c r="F78" s="406"/>
      <c r="G78" s="19">
        <v>193</v>
      </c>
      <c r="H78" s="20"/>
      <c r="I78" s="70">
        <f>IF(I77&gt;0,I77,0)</f>
        <v>0</v>
      </c>
      <c r="J78" s="70">
        <f>IF(J77&gt;0,J77,0)</f>
        <v>0</v>
      </c>
    </row>
    <row r="79" spans="1:10" s="2" customFormat="1" ht="13.5" customHeight="1">
      <c r="A79" s="406" t="s">
        <v>2008</v>
      </c>
      <c r="B79" s="406"/>
      <c r="C79" s="406"/>
      <c r="D79" s="406"/>
      <c r="E79" s="406"/>
      <c r="F79" s="406"/>
      <c r="G79" s="19">
        <v>194</v>
      </c>
      <c r="H79" s="20"/>
      <c r="I79" s="70">
        <f>IF(I77&lt;0,-I77,0)</f>
        <v>0</v>
      </c>
      <c r="J79" s="70">
        <f>IF(J77&lt;0,-J77,0)</f>
        <v>0</v>
      </c>
    </row>
    <row r="80" spans="1:12" s="2" customFormat="1" ht="13.5" customHeight="1">
      <c r="A80" s="384" t="s">
        <v>2006</v>
      </c>
      <c r="B80" s="384"/>
      <c r="C80" s="384"/>
      <c r="D80" s="384"/>
      <c r="E80" s="384"/>
      <c r="F80" s="384"/>
      <c r="G80" s="19">
        <v>195</v>
      </c>
      <c r="H80" s="20"/>
      <c r="I80" s="70">
        <f>(I73+I65)*$Q$8</f>
        <v>0</v>
      </c>
      <c r="J80" s="70">
        <f>(J73+J65)*$Q$8</f>
        <v>0</v>
      </c>
      <c r="L80" s="2" t="s">
        <v>2591</v>
      </c>
    </row>
    <row r="81" spans="1:12" s="2" customFormat="1" ht="13.5" customHeight="1">
      <c r="A81" s="384" t="s">
        <v>2009</v>
      </c>
      <c r="B81" s="384"/>
      <c r="C81" s="384"/>
      <c r="D81" s="384"/>
      <c r="E81" s="384"/>
      <c r="F81" s="384"/>
      <c r="G81" s="19">
        <v>196</v>
      </c>
      <c r="H81" s="20"/>
      <c r="I81" s="70">
        <f>I82-I83</f>
        <v>0</v>
      </c>
      <c r="J81" s="70">
        <f>J82-J83</f>
        <v>0</v>
      </c>
      <c r="L81" s="2" t="s">
        <v>2591</v>
      </c>
    </row>
    <row r="82" spans="1:10" s="2" customFormat="1" ht="13.5" customHeight="1">
      <c r="A82" s="406" t="s">
        <v>1733</v>
      </c>
      <c r="B82" s="406"/>
      <c r="C82" s="406"/>
      <c r="D82" s="406"/>
      <c r="E82" s="406"/>
      <c r="F82" s="406"/>
      <c r="G82" s="19">
        <v>197</v>
      </c>
      <c r="H82" s="20"/>
      <c r="I82" s="70">
        <f>IF(I77-I80&gt;0,I77-I80,0)</f>
        <v>0</v>
      </c>
      <c r="J82" s="70">
        <f>IF(J77-J80&gt;0,J77-J80,0)</f>
        <v>0</v>
      </c>
    </row>
    <row r="83" spans="1:10" s="2" customFormat="1" ht="13.5" customHeight="1">
      <c r="A83" s="407" t="s">
        <v>1847</v>
      </c>
      <c r="B83" s="407"/>
      <c r="C83" s="407"/>
      <c r="D83" s="407"/>
      <c r="E83" s="407"/>
      <c r="F83" s="407"/>
      <c r="G83" s="21">
        <v>198</v>
      </c>
      <c r="H83" s="22"/>
      <c r="I83" s="85">
        <f>IF(I77-I80&lt;0,I80-I77,0)</f>
        <v>0</v>
      </c>
      <c r="J83" s="85">
        <f>IF(J77-J80&lt;0,J80-J77,0)</f>
        <v>0</v>
      </c>
    </row>
    <row r="84" spans="1:10" s="2" customFormat="1" ht="15" customHeight="1">
      <c r="A84" s="388" t="s">
        <v>2852</v>
      </c>
      <c r="B84" s="388"/>
      <c r="C84" s="388"/>
      <c r="D84" s="388"/>
      <c r="E84" s="388"/>
      <c r="F84" s="388"/>
      <c r="G84" s="410"/>
      <c r="H84" s="410"/>
      <c r="I84" s="410"/>
      <c r="J84" s="410"/>
    </row>
    <row r="85" spans="1:12" s="2" customFormat="1" ht="13.5" customHeight="1">
      <c r="A85" s="408" t="s">
        <v>1101</v>
      </c>
      <c r="B85" s="408"/>
      <c r="C85" s="408"/>
      <c r="D85" s="408"/>
      <c r="E85" s="408"/>
      <c r="F85" s="408"/>
      <c r="G85" s="19">
        <v>199</v>
      </c>
      <c r="H85" s="20"/>
      <c r="I85" s="86">
        <f>SUM(I86:I87)</f>
        <v>0</v>
      </c>
      <c r="J85" s="86">
        <f>SUM(J86:J87)</f>
        <v>0</v>
      </c>
      <c r="L85" s="2" t="s">
        <v>2591</v>
      </c>
    </row>
    <row r="86" spans="1:12" s="2" customFormat="1" ht="13.5" customHeight="1">
      <c r="A86" s="422" t="s">
        <v>2061</v>
      </c>
      <c r="B86" s="422"/>
      <c r="C86" s="422"/>
      <c r="D86" s="422"/>
      <c r="E86" s="422"/>
      <c r="F86" s="422"/>
      <c r="G86" s="19">
        <v>200</v>
      </c>
      <c r="H86" s="20"/>
      <c r="I86" s="77">
        <v>0</v>
      </c>
      <c r="J86" s="77">
        <v>0</v>
      </c>
      <c r="L86" s="2" t="s">
        <v>2591</v>
      </c>
    </row>
    <row r="87" spans="1:12" s="2" customFormat="1" ht="13.5" customHeight="1">
      <c r="A87" s="423" t="s">
        <v>1102</v>
      </c>
      <c r="B87" s="423"/>
      <c r="C87" s="423"/>
      <c r="D87" s="423"/>
      <c r="E87" s="423"/>
      <c r="F87" s="423"/>
      <c r="G87" s="21">
        <v>201</v>
      </c>
      <c r="H87" s="22"/>
      <c r="I87" s="78">
        <v>0</v>
      </c>
      <c r="J87" s="78">
        <v>0</v>
      </c>
      <c r="L87" s="2" t="s">
        <v>2591</v>
      </c>
    </row>
    <row r="88" spans="1:10" s="2" customFormat="1" ht="15" customHeight="1">
      <c r="A88" s="420" t="s">
        <v>656</v>
      </c>
      <c r="B88" s="420"/>
      <c r="C88" s="420"/>
      <c r="D88" s="420"/>
      <c r="E88" s="420"/>
      <c r="F88" s="420"/>
      <c r="G88" s="421"/>
      <c r="H88" s="421"/>
      <c r="I88" s="421"/>
      <c r="J88" s="421"/>
    </row>
    <row r="89" spans="1:12" s="2" customFormat="1" ht="13.5" customHeight="1">
      <c r="A89" s="409" t="s">
        <v>1448</v>
      </c>
      <c r="B89" s="409"/>
      <c r="C89" s="409"/>
      <c r="D89" s="409"/>
      <c r="E89" s="409"/>
      <c r="F89" s="409"/>
      <c r="G89" s="19">
        <v>202</v>
      </c>
      <c r="H89" s="20"/>
      <c r="I89" s="77">
        <v>0</v>
      </c>
      <c r="J89" s="77">
        <v>0</v>
      </c>
      <c r="L89" s="2" t="s">
        <v>2591</v>
      </c>
    </row>
    <row r="90" spans="1:12" s="2" customFormat="1" ht="25.5" customHeight="1">
      <c r="A90" s="409" t="s">
        <v>1473</v>
      </c>
      <c r="B90" s="409"/>
      <c r="C90" s="409"/>
      <c r="D90" s="409"/>
      <c r="E90" s="409"/>
      <c r="F90" s="409"/>
      <c r="G90" s="19">
        <v>203</v>
      </c>
      <c r="H90" s="20"/>
      <c r="I90" s="86">
        <f>SUM(I91:I98)</f>
        <v>0</v>
      </c>
      <c r="J90" s="86">
        <f>SUM(J91:J98)</f>
        <v>0</v>
      </c>
      <c r="L90" s="2" t="s">
        <v>2591</v>
      </c>
    </row>
    <row r="91" spans="1:12" s="2" customFormat="1" ht="13.5" customHeight="1">
      <c r="A91" s="406" t="s">
        <v>2062</v>
      </c>
      <c r="B91" s="406"/>
      <c r="C91" s="406"/>
      <c r="D91" s="406"/>
      <c r="E91" s="406"/>
      <c r="F91" s="406"/>
      <c r="G91" s="19">
        <v>204</v>
      </c>
      <c r="H91" s="20"/>
      <c r="I91" s="77">
        <v>0</v>
      </c>
      <c r="J91" s="77">
        <v>0</v>
      </c>
      <c r="L91" s="2" t="s">
        <v>2591</v>
      </c>
    </row>
    <row r="92" spans="1:12" s="2" customFormat="1" ht="25.5" customHeight="1">
      <c r="A92" s="406" t="s">
        <v>2063</v>
      </c>
      <c r="B92" s="406"/>
      <c r="C92" s="406"/>
      <c r="D92" s="406"/>
      <c r="E92" s="406"/>
      <c r="F92" s="406"/>
      <c r="G92" s="19">
        <v>205</v>
      </c>
      <c r="H92" s="20"/>
      <c r="I92" s="77">
        <v>0</v>
      </c>
      <c r="J92" s="77">
        <v>0</v>
      </c>
      <c r="L92" s="2" t="s">
        <v>2591</v>
      </c>
    </row>
    <row r="93" spans="1:12" s="2" customFormat="1" ht="26.25" customHeight="1">
      <c r="A93" s="406" t="s">
        <v>2064</v>
      </c>
      <c r="B93" s="406"/>
      <c r="C93" s="406"/>
      <c r="D93" s="406"/>
      <c r="E93" s="406"/>
      <c r="F93" s="406"/>
      <c r="G93" s="19">
        <v>206</v>
      </c>
      <c r="H93" s="20"/>
      <c r="I93" s="77">
        <v>0</v>
      </c>
      <c r="J93" s="77">
        <v>0</v>
      </c>
      <c r="L93" s="2" t="s">
        <v>2591</v>
      </c>
    </row>
    <row r="94" spans="1:12" s="2" customFormat="1" ht="13.5" customHeight="1">
      <c r="A94" s="406" t="s">
        <v>2065</v>
      </c>
      <c r="B94" s="406"/>
      <c r="C94" s="406"/>
      <c r="D94" s="406"/>
      <c r="E94" s="406"/>
      <c r="F94" s="406"/>
      <c r="G94" s="19">
        <v>207</v>
      </c>
      <c r="H94" s="20"/>
      <c r="I94" s="77">
        <v>0</v>
      </c>
      <c r="J94" s="77">
        <v>0</v>
      </c>
      <c r="L94" s="2" t="s">
        <v>2591</v>
      </c>
    </row>
    <row r="95" spans="1:12" s="2" customFormat="1" ht="13.5" customHeight="1">
      <c r="A95" s="406" t="s">
        <v>2066</v>
      </c>
      <c r="B95" s="406"/>
      <c r="C95" s="406"/>
      <c r="D95" s="406"/>
      <c r="E95" s="406"/>
      <c r="F95" s="406"/>
      <c r="G95" s="19">
        <v>208</v>
      </c>
      <c r="H95" s="20"/>
      <c r="I95" s="77">
        <v>0</v>
      </c>
      <c r="J95" s="77">
        <v>0</v>
      </c>
      <c r="L95" s="2" t="s">
        <v>2591</v>
      </c>
    </row>
    <row r="96" spans="1:12" s="2" customFormat="1" ht="25.5" customHeight="1">
      <c r="A96" s="406" t="s">
        <v>2067</v>
      </c>
      <c r="B96" s="406"/>
      <c r="C96" s="406"/>
      <c r="D96" s="406"/>
      <c r="E96" s="406"/>
      <c r="F96" s="406"/>
      <c r="G96" s="19">
        <v>209</v>
      </c>
      <c r="H96" s="20"/>
      <c r="I96" s="77">
        <v>0</v>
      </c>
      <c r="J96" s="77">
        <v>0</v>
      </c>
      <c r="L96" s="2" t="s">
        <v>2591</v>
      </c>
    </row>
    <row r="97" spans="1:12" s="2" customFormat="1" ht="13.5" customHeight="1">
      <c r="A97" s="406" t="s">
        <v>759</v>
      </c>
      <c r="B97" s="406"/>
      <c r="C97" s="406"/>
      <c r="D97" s="406"/>
      <c r="E97" s="406"/>
      <c r="F97" s="406"/>
      <c r="G97" s="19">
        <v>210</v>
      </c>
      <c r="H97" s="20"/>
      <c r="I97" s="77">
        <v>0</v>
      </c>
      <c r="J97" s="77">
        <v>0</v>
      </c>
      <c r="L97" s="2" t="s">
        <v>2591</v>
      </c>
    </row>
    <row r="98" spans="1:12" s="2" customFormat="1" ht="13.5" customHeight="1">
      <c r="A98" s="406" t="s">
        <v>1449</v>
      </c>
      <c r="B98" s="406"/>
      <c r="C98" s="406"/>
      <c r="D98" s="406"/>
      <c r="E98" s="406"/>
      <c r="F98" s="406"/>
      <c r="G98" s="19">
        <v>211</v>
      </c>
      <c r="H98" s="20"/>
      <c r="I98" s="77">
        <v>0</v>
      </c>
      <c r="J98" s="77">
        <v>0</v>
      </c>
      <c r="L98" s="2" t="s">
        <v>2591</v>
      </c>
    </row>
    <row r="99" spans="1:12" s="2" customFormat="1" ht="13.5" customHeight="1">
      <c r="A99" s="409" t="s">
        <v>2621</v>
      </c>
      <c r="B99" s="409"/>
      <c r="C99" s="409"/>
      <c r="D99" s="409"/>
      <c r="E99" s="409"/>
      <c r="F99" s="409"/>
      <c r="G99" s="19">
        <v>212</v>
      </c>
      <c r="H99" s="20"/>
      <c r="I99" s="77">
        <v>0</v>
      </c>
      <c r="J99" s="77">
        <v>0</v>
      </c>
      <c r="L99" s="2" t="s">
        <v>2591</v>
      </c>
    </row>
    <row r="100" spans="1:12" s="2" customFormat="1" ht="15" customHeight="1">
      <c r="A100" s="409" t="s">
        <v>1474</v>
      </c>
      <c r="B100" s="409"/>
      <c r="C100" s="409"/>
      <c r="D100" s="409"/>
      <c r="E100" s="409"/>
      <c r="F100" s="409"/>
      <c r="G100" s="19">
        <v>213</v>
      </c>
      <c r="H100" s="20"/>
      <c r="I100" s="86">
        <f>I90-I99</f>
        <v>0</v>
      </c>
      <c r="J100" s="86">
        <f>J90-J99</f>
        <v>0</v>
      </c>
      <c r="L100" s="2" t="s">
        <v>2591</v>
      </c>
    </row>
    <row r="101" spans="1:12" s="2" customFormat="1" ht="13.5" customHeight="1">
      <c r="A101" s="424" t="s">
        <v>1475</v>
      </c>
      <c r="B101" s="424"/>
      <c r="C101" s="424"/>
      <c r="D101" s="424"/>
      <c r="E101" s="424"/>
      <c r="F101" s="424"/>
      <c r="G101" s="21">
        <v>214</v>
      </c>
      <c r="H101" s="22"/>
      <c r="I101" s="87">
        <f>I89+I100</f>
        <v>0</v>
      </c>
      <c r="J101" s="87">
        <f>J89+J100</f>
        <v>0</v>
      </c>
      <c r="L101" s="2" t="s">
        <v>2591</v>
      </c>
    </row>
    <row r="102" spans="1:10" s="2" customFormat="1" ht="15" customHeight="1">
      <c r="A102" s="388" t="s">
        <v>1565</v>
      </c>
      <c r="B102" s="388"/>
      <c r="C102" s="388"/>
      <c r="D102" s="388"/>
      <c r="E102" s="388"/>
      <c r="F102" s="388"/>
      <c r="G102" s="410"/>
      <c r="H102" s="410"/>
      <c r="I102" s="410"/>
      <c r="J102" s="410"/>
    </row>
    <row r="103" spans="1:12" s="2" customFormat="1" ht="13.5" customHeight="1">
      <c r="A103" s="408" t="s">
        <v>1848</v>
      </c>
      <c r="B103" s="408"/>
      <c r="C103" s="408"/>
      <c r="D103" s="408"/>
      <c r="E103" s="408"/>
      <c r="F103" s="408"/>
      <c r="G103" s="19">
        <v>215</v>
      </c>
      <c r="H103" s="20"/>
      <c r="I103" s="86">
        <f>SUM(I104:I105)</f>
        <v>0</v>
      </c>
      <c r="J103" s="86">
        <f>SUM(J104:J105)</f>
        <v>0</v>
      </c>
      <c r="L103" s="2" t="s">
        <v>2591</v>
      </c>
    </row>
    <row r="104" spans="1:12" s="2" customFormat="1" ht="13.5" customHeight="1">
      <c r="A104" s="422" t="s">
        <v>2622</v>
      </c>
      <c r="B104" s="422"/>
      <c r="C104" s="422"/>
      <c r="D104" s="422"/>
      <c r="E104" s="422"/>
      <c r="F104" s="422"/>
      <c r="G104" s="19">
        <v>216</v>
      </c>
      <c r="H104" s="20"/>
      <c r="I104" s="77">
        <v>0</v>
      </c>
      <c r="J104" s="77">
        <v>0</v>
      </c>
      <c r="L104" s="2" t="s">
        <v>2591</v>
      </c>
    </row>
    <row r="105" spans="1:12" s="2" customFormat="1" ht="13.5" customHeight="1">
      <c r="A105" s="423" t="s">
        <v>1450</v>
      </c>
      <c r="B105" s="423"/>
      <c r="C105" s="423"/>
      <c r="D105" s="423"/>
      <c r="E105" s="423"/>
      <c r="F105" s="423"/>
      <c r="G105" s="21">
        <v>217</v>
      </c>
      <c r="H105" s="22"/>
      <c r="I105" s="78">
        <v>0</v>
      </c>
      <c r="J105" s="78">
        <v>0</v>
      </c>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87"/>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A5" sqref="A5:J5"/>
    </sheetView>
  </sheetViews>
  <sheetFormatPr defaultColWidth="0" defaultRowHeight="12.75" zeroHeight="1"/>
  <cols>
    <col min="1" max="6" width="9.7109375" style="82" customWidth="1"/>
    <col min="7" max="7" width="5.7109375" style="82" customWidth="1"/>
    <col min="8" max="8" width="5.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5" t="s">
        <v>568</v>
      </c>
      <c r="B2" s="436"/>
      <c r="C2" s="436"/>
      <c r="D2" s="436"/>
      <c r="E2" s="436"/>
      <c r="F2" s="436"/>
      <c r="G2" s="436"/>
      <c r="H2" s="436"/>
      <c r="I2" s="437"/>
      <c r="J2" s="391" t="s">
        <v>2593</v>
      </c>
      <c r="Q2" s="74">
        <f>IF(MAX(I9:I88)&gt;0,1,0)</f>
        <v>1</v>
      </c>
      <c r="R2" s="73" t="s">
        <v>2586</v>
      </c>
    </row>
    <row r="3" spans="1:18" s="2" customFormat="1" ht="19.5" customHeight="1" thickBot="1">
      <c r="A3" s="438" t="str">
        <f>"za razdoblje "&amp;IF(RefStr!C4&lt;&gt;"",TEXT(RefStr!C4,"DD.MM.YYYY."),"__.__.____.")&amp;" do "&amp;IF(RefStr!F4&lt;&gt;"",TEXT(RefStr!F4,"DD.MM.YYYY."),"__.__.____.")</f>
        <v>za razdoblje 01.01.2019. do 31.12.2019.</v>
      </c>
      <c r="B3" s="439"/>
      <c r="C3" s="439"/>
      <c r="D3" s="439"/>
      <c r="E3" s="439"/>
      <c r="F3" s="439"/>
      <c r="G3" s="439"/>
      <c r="H3" s="439"/>
      <c r="I3" s="440"/>
      <c r="J3" s="425"/>
      <c r="Q3" s="74">
        <f>IF(MAX(J9:J88)&gt;0,1,0)</f>
        <v>1</v>
      </c>
      <c r="R3" s="73" t="s">
        <v>2587</v>
      </c>
    </row>
    <row r="4" spans="1:10" s="2" customFormat="1" ht="4.5" customHeight="1">
      <c r="A4" s="116"/>
      <c r="B4" s="89"/>
      <c r="C4" s="89"/>
      <c r="D4" s="89"/>
      <c r="E4" s="89"/>
      <c r="F4" s="89"/>
      <c r="G4" s="89"/>
      <c r="H4" s="89"/>
      <c r="I4" s="90"/>
      <c r="J4" s="91"/>
    </row>
    <row r="5" spans="1:10" s="2" customFormat="1" ht="15" customHeight="1">
      <c r="A5" s="429" t="str">
        <f>"Obveznik: "&amp;IF(RefStr!C27&lt;&gt;"",RefStr!C27,"________")&amp;"; "&amp;IF(RefStr!C29&lt;&gt;"",RefStr!C29,"________________________________________________________"&amp;"; "&amp;IF(RefStr!F31&lt;&gt;"",RefStr!F31,"_______________"))</f>
        <v>Obveznik: 07538718933; ISTRA d.d.</v>
      </c>
      <c r="B5" s="430"/>
      <c r="C5" s="430"/>
      <c r="D5" s="430"/>
      <c r="E5" s="430"/>
      <c r="F5" s="430"/>
      <c r="G5" s="430"/>
      <c r="H5" s="430"/>
      <c r="I5" s="430"/>
      <c r="J5" s="431"/>
    </row>
    <row r="6" spans="1:10" s="2" customFormat="1" ht="24.75" customHeight="1" thickBot="1">
      <c r="A6" s="432" t="s">
        <v>719</v>
      </c>
      <c r="B6" s="433"/>
      <c r="C6" s="433"/>
      <c r="D6" s="433"/>
      <c r="E6" s="433"/>
      <c r="F6" s="433"/>
      <c r="G6" s="434"/>
      <c r="H6" s="107" t="s">
        <v>799</v>
      </c>
      <c r="I6" s="107" t="s">
        <v>459</v>
      </c>
      <c r="J6" s="108" t="s">
        <v>460</v>
      </c>
    </row>
    <row r="7" spans="1:10" s="2" customFormat="1" ht="12">
      <c r="A7" s="426">
        <v>1</v>
      </c>
      <c r="B7" s="427"/>
      <c r="C7" s="427"/>
      <c r="D7" s="427"/>
      <c r="E7" s="427"/>
      <c r="F7" s="427"/>
      <c r="G7" s="428"/>
      <c r="H7" s="111">
        <v>2</v>
      </c>
      <c r="I7" s="110">
        <v>3</v>
      </c>
      <c r="J7" s="112">
        <v>4</v>
      </c>
    </row>
    <row r="8" spans="1:10" s="2" customFormat="1" ht="13.5" customHeight="1">
      <c r="A8" s="441" t="s">
        <v>263</v>
      </c>
      <c r="B8" s="442"/>
      <c r="C8" s="442"/>
      <c r="D8" s="442"/>
      <c r="E8" s="442"/>
      <c r="F8" s="442"/>
      <c r="G8" s="442"/>
      <c r="H8" s="442"/>
      <c r="I8" s="442"/>
      <c r="J8" s="443"/>
    </row>
    <row r="9" spans="1:10" s="2" customFormat="1" ht="13.5" customHeight="1">
      <c r="A9" s="444" t="s">
        <v>262</v>
      </c>
      <c r="B9" s="444"/>
      <c r="C9" s="444"/>
      <c r="D9" s="444"/>
      <c r="E9" s="444"/>
      <c r="F9" s="444"/>
      <c r="G9" s="445"/>
      <c r="H9" s="92">
        <v>218</v>
      </c>
      <c r="I9" s="93">
        <v>0</v>
      </c>
      <c r="J9" s="93">
        <v>0</v>
      </c>
    </row>
    <row r="10" spans="1:10" s="2" customFormat="1" ht="13.5" customHeight="1">
      <c r="A10" s="406" t="s">
        <v>261</v>
      </c>
      <c r="B10" s="406"/>
      <c r="C10" s="406"/>
      <c r="D10" s="406"/>
      <c r="E10" s="406"/>
      <c r="F10" s="406"/>
      <c r="G10" s="406"/>
      <c r="H10" s="19">
        <v>219</v>
      </c>
      <c r="I10" s="77">
        <v>0</v>
      </c>
      <c r="J10" s="77">
        <v>0</v>
      </c>
    </row>
    <row r="11" spans="1:10" s="2" customFormat="1" ht="13.5" customHeight="1">
      <c r="A11" s="406" t="s">
        <v>769</v>
      </c>
      <c r="B11" s="406"/>
      <c r="C11" s="406"/>
      <c r="D11" s="406"/>
      <c r="E11" s="406"/>
      <c r="F11" s="406"/>
      <c r="G11" s="406"/>
      <c r="H11" s="19">
        <v>220</v>
      </c>
      <c r="I11" s="77">
        <v>0</v>
      </c>
      <c r="J11" s="77">
        <v>0</v>
      </c>
    </row>
    <row r="12" spans="1:10" s="2" customFormat="1" ht="13.5" customHeight="1">
      <c r="A12" s="406" t="s">
        <v>768</v>
      </c>
      <c r="B12" s="406"/>
      <c r="C12" s="406"/>
      <c r="D12" s="406"/>
      <c r="E12" s="406"/>
      <c r="F12" s="406"/>
      <c r="G12" s="406"/>
      <c r="H12" s="19">
        <v>221</v>
      </c>
      <c r="I12" s="77">
        <v>0</v>
      </c>
      <c r="J12" s="77">
        <v>0</v>
      </c>
    </row>
    <row r="13" spans="1:10" s="2" customFormat="1" ht="13.5" customHeight="1">
      <c r="A13" s="406" t="s">
        <v>767</v>
      </c>
      <c r="B13" s="406"/>
      <c r="C13" s="406"/>
      <c r="D13" s="406"/>
      <c r="E13" s="406"/>
      <c r="F13" s="406"/>
      <c r="G13" s="406"/>
      <c r="H13" s="19">
        <v>222</v>
      </c>
      <c r="I13" s="77">
        <v>0</v>
      </c>
      <c r="J13" s="77">
        <v>0</v>
      </c>
    </row>
    <row r="14" spans="1:10" s="2" customFormat="1" ht="13.5" customHeight="1">
      <c r="A14" s="406" t="s">
        <v>766</v>
      </c>
      <c r="B14" s="406"/>
      <c r="C14" s="406"/>
      <c r="D14" s="406"/>
      <c r="E14" s="406"/>
      <c r="F14" s="406"/>
      <c r="G14" s="406"/>
      <c r="H14" s="19">
        <v>223</v>
      </c>
      <c r="I14" s="77">
        <v>0</v>
      </c>
      <c r="J14" s="77">
        <v>0</v>
      </c>
    </row>
    <row r="15" spans="1:10" s="2" customFormat="1" ht="13.5" customHeight="1">
      <c r="A15" s="407" t="s">
        <v>765</v>
      </c>
      <c r="B15" s="407"/>
      <c r="C15" s="407"/>
      <c r="D15" s="407"/>
      <c r="E15" s="407"/>
      <c r="F15" s="407"/>
      <c r="G15" s="407"/>
      <c r="H15" s="21">
        <v>224</v>
      </c>
      <c r="I15" s="78">
        <v>0</v>
      </c>
      <c r="J15" s="78">
        <v>0</v>
      </c>
    </row>
    <row r="16" spans="1:10" s="2" customFormat="1" ht="13.5" customHeight="1">
      <c r="A16" s="441" t="s">
        <v>264</v>
      </c>
      <c r="B16" s="442"/>
      <c r="C16" s="442"/>
      <c r="D16" s="442"/>
      <c r="E16" s="442"/>
      <c r="F16" s="442"/>
      <c r="G16" s="442"/>
      <c r="H16" s="442"/>
      <c r="I16" s="442"/>
      <c r="J16" s="443"/>
    </row>
    <row r="17" spans="1:10" s="2" customFormat="1" ht="13.5" customHeight="1">
      <c r="A17" s="444" t="s">
        <v>763</v>
      </c>
      <c r="B17" s="444"/>
      <c r="C17" s="444"/>
      <c r="D17" s="444"/>
      <c r="E17" s="444"/>
      <c r="F17" s="444"/>
      <c r="G17" s="445"/>
      <c r="H17" s="92">
        <v>225</v>
      </c>
      <c r="I17" s="94">
        <v>0</v>
      </c>
      <c r="J17" s="94">
        <v>0</v>
      </c>
    </row>
    <row r="18" spans="1:10" s="2" customFormat="1" ht="13.5" customHeight="1">
      <c r="A18" s="406" t="s">
        <v>764</v>
      </c>
      <c r="B18" s="406"/>
      <c r="C18" s="406"/>
      <c r="D18" s="406"/>
      <c r="E18" s="406"/>
      <c r="F18" s="406"/>
      <c r="G18" s="446"/>
      <c r="H18" s="19">
        <v>226</v>
      </c>
      <c r="I18" s="77">
        <v>0</v>
      </c>
      <c r="J18" s="77">
        <v>0</v>
      </c>
    </row>
    <row r="19" spans="1:10" s="2" customFormat="1" ht="13.5" customHeight="1">
      <c r="A19" s="406" t="s">
        <v>760</v>
      </c>
      <c r="B19" s="406"/>
      <c r="C19" s="406"/>
      <c r="D19" s="406"/>
      <c r="E19" s="406"/>
      <c r="F19" s="406"/>
      <c r="G19" s="446"/>
      <c r="H19" s="19">
        <v>227</v>
      </c>
      <c r="I19" s="77">
        <v>0</v>
      </c>
      <c r="J19" s="77">
        <v>0</v>
      </c>
    </row>
    <row r="20" spans="1:10" s="2" customFormat="1" ht="13.5" customHeight="1">
      <c r="A20" s="406" t="s">
        <v>761</v>
      </c>
      <c r="B20" s="406"/>
      <c r="C20" s="406"/>
      <c r="D20" s="406"/>
      <c r="E20" s="406"/>
      <c r="F20" s="406"/>
      <c r="G20" s="446"/>
      <c r="H20" s="19">
        <v>228</v>
      </c>
      <c r="I20" s="77">
        <v>0</v>
      </c>
      <c r="J20" s="77">
        <v>0</v>
      </c>
    </row>
    <row r="21" spans="1:10" s="2" customFormat="1" ht="13.5" customHeight="1">
      <c r="A21" s="407" t="s">
        <v>762</v>
      </c>
      <c r="B21" s="407"/>
      <c r="C21" s="407"/>
      <c r="D21" s="407"/>
      <c r="E21" s="407"/>
      <c r="F21" s="407"/>
      <c r="G21" s="451"/>
      <c r="H21" s="21">
        <v>229</v>
      </c>
      <c r="I21" s="78">
        <v>0</v>
      </c>
      <c r="J21" s="78">
        <v>0</v>
      </c>
    </row>
    <row r="22" spans="1:10" s="2" customFormat="1" ht="13.5" customHeight="1">
      <c r="A22" s="441" t="s">
        <v>265</v>
      </c>
      <c r="B22" s="442"/>
      <c r="C22" s="442"/>
      <c r="D22" s="442"/>
      <c r="E22" s="442"/>
      <c r="F22" s="442"/>
      <c r="G22" s="442"/>
      <c r="H22" s="442"/>
      <c r="I22" s="442"/>
      <c r="J22" s="443"/>
    </row>
    <row r="23" spans="1:10" s="2" customFormat="1" ht="13.5" customHeight="1">
      <c r="A23" s="449" t="s">
        <v>2900</v>
      </c>
      <c r="B23" s="449"/>
      <c r="C23" s="449"/>
      <c r="D23" s="449"/>
      <c r="E23" s="449"/>
      <c r="F23" s="449"/>
      <c r="G23" s="450"/>
      <c r="H23" s="95">
        <v>230</v>
      </c>
      <c r="I23" s="96">
        <v>0</v>
      </c>
      <c r="J23" s="96">
        <v>0</v>
      </c>
    </row>
    <row r="24" spans="1:10" s="2" customFormat="1" ht="13.5" customHeight="1">
      <c r="A24" s="441" t="s">
        <v>266</v>
      </c>
      <c r="B24" s="442"/>
      <c r="C24" s="442"/>
      <c r="D24" s="442"/>
      <c r="E24" s="442"/>
      <c r="F24" s="442"/>
      <c r="G24" s="442"/>
      <c r="H24" s="442"/>
      <c r="I24" s="442"/>
      <c r="J24" s="443"/>
    </row>
    <row r="25" spans="1:10" s="2" customFormat="1" ht="13.5" customHeight="1">
      <c r="A25" s="444" t="s">
        <v>2901</v>
      </c>
      <c r="B25" s="444"/>
      <c r="C25" s="444"/>
      <c r="D25" s="444"/>
      <c r="E25" s="444"/>
      <c r="F25" s="444"/>
      <c r="G25" s="445"/>
      <c r="H25" s="92">
        <v>231</v>
      </c>
      <c r="I25" s="94">
        <v>0</v>
      </c>
      <c r="J25" s="94">
        <v>0</v>
      </c>
    </row>
    <row r="26" spans="1:10" s="2" customFormat="1" ht="24.75" customHeight="1">
      <c r="A26" s="406" t="s">
        <v>2215</v>
      </c>
      <c r="B26" s="406"/>
      <c r="C26" s="406"/>
      <c r="D26" s="406"/>
      <c r="E26" s="406"/>
      <c r="F26" s="406"/>
      <c r="G26" s="446"/>
      <c r="H26" s="19">
        <v>232</v>
      </c>
      <c r="I26" s="77">
        <v>0</v>
      </c>
      <c r="J26" s="77">
        <v>0</v>
      </c>
    </row>
    <row r="27" spans="1:10" s="2" customFormat="1" ht="13.5" customHeight="1">
      <c r="A27" s="406" t="s">
        <v>267</v>
      </c>
      <c r="B27" s="406"/>
      <c r="C27" s="406"/>
      <c r="D27" s="406"/>
      <c r="E27" s="406"/>
      <c r="F27" s="406"/>
      <c r="G27" s="446"/>
      <c r="H27" s="19">
        <v>233</v>
      </c>
      <c r="I27" s="77">
        <v>0</v>
      </c>
      <c r="J27" s="77">
        <v>0</v>
      </c>
    </row>
    <row r="28" spans="1:10" s="2" customFormat="1" ht="13.5" customHeight="1">
      <c r="A28" s="406" t="s">
        <v>268</v>
      </c>
      <c r="B28" s="406"/>
      <c r="C28" s="406"/>
      <c r="D28" s="406"/>
      <c r="E28" s="406"/>
      <c r="F28" s="406"/>
      <c r="G28" s="446"/>
      <c r="H28" s="19">
        <v>234</v>
      </c>
      <c r="I28" s="77">
        <v>0</v>
      </c>
      <c r="J28" s="77">
        <v>0</v>
      </c>
    </row>
    <row r="29" spans="1:10" s="2" customFormat="1" ht="13.5" customHeight="1">
      <c r="A29" s="406" t="s">
        <v>269</v>
      </c>
      <c r="B29" s="406"/>
      <c r="C29" s="406"/>
      <c r="D29" s="406"/>
      <c r="E29" s="406"/>
      <c r="F29" s="406"/>
      <c r="G29" s="446"/>
      <c r="H29" s="19">
        <v>235</v>
      </c>
      <c r="I29" s="77">
        <v>0</v>
      </c>
      <c r="J29" s="77">
        <v>0</v>
      </c>
    </row>
    <row r="30" spans="1:10" s="2" customFormat="1" ht="13.5" customHeight="1">
      <c r="A30" s="406" t="s">
        <v>270</v>
      </c>
      <c r="B30" s="406"/>
      <c r="C30" s="406"/>
      <c r="D30" s="406"/>
      <c r="E30" s="406"/>
      <c r="F30" s="406"/>
      <c r="G30" s="446"/>
      <c r="H30" s="19">
        <v>236</v>
      </c>
      <c r="I30" s="77">
        <v>0</v>
      </c>
      <c r="J30" s="77">
        <v>0</v>
      </c>
    </row>
    <row r="31" spans="1:10" s="2" customFormat="1" ht="13.5" customHeight="1">
      <c r="A31" s="406" t="s">
        <v>271</v>
      </c>
      <c r="B31" s="406"/>
      <c r="C31" s="406"/>
      <c r="D31" s="406"/>
      <c r="E31" s="406"/>
      <c r="F31" s="406"/>
      <c r="G31" s="446"/>
      <c r="H31" s="19">
        <v>237</v>
      </c>
      <c r="I31" s="77">
        <v>0</v>
      </c>
      <c r="J31" s="77">
        <v>0</v>
      </c>
    </row>
    <row r="32" spans="1:10" s="2" customFormat="1" ht="13.5" customHeight="1">
      <c r="A32" s="406" t="s">
        <v>272</v>
      </c>
      <c r="B32" s="406"/>
      <c r="C32" s="406"/>
      <c r="D32" s="406"/>
      <c r="E32" s="406"/>
      <c r="F32" s="406"/>
      <c r="G32" s="446"/>
      <c r="H32" s="19">
        <v>238</v>
      </c>
      <c r="I32" s="77">
        <v>0</v>
      </c>
      <c r="J32" s="77">
        <v>0</v>
      </c>
    </row>
    <row r="33" spans="1:10" s="2" customFormat="1" ht="24.75" customHeight="1">
      <c r="A33" s="406" t="s">
        <v>2216</v>
      </c>
      <c r="B33" s="406"/>
      <c r="C33" s="406"/>
      <c r="D33" s="406"/>
      <c r="E33" s="406"/>
      <c r="F33" s="406"/>
      <c r="G33" s="446"/>
      <c r="H33" s="19">
        <v>239</v>
      </c>
      <c r="I33" s="77">
        <v>0</v>
      </c>
      <c r="J33" s="77">
        <v>0</v>
      </c>
    </row>
    <row r="34" spans="1:10" s="2" customFormat="1" ht="36" customHeight="1">
      <c r="A34" s="406" t="s">
        <v>2217</v>
      </c>
      <c r="B34" s="406"/>
      <c r="C34" s="406"/>
      <c r="D34" s="406"/>
      <c r="E34" s="406"/>
      <c r="F34" s="406"/>
      <c r="G34" s="446"/>
      <c r="H34" s="19">
        <v>240</v>
      </c>
      <c r="I34" s="77">
        <v>0</v>
      </c>
      <c r="J34" s="77">
        <v>0</v>
      </c>
    </row>
    <row r="35" spans="1:10" s="2" customFormat="1" ht="36" customHeight="1">
      <c r="A35" s="407" t="s">
        <v>273</v>
      </c>
      <c r="B35" s="407"/>
      <c r="C35" s="407"/>
      <c r="D35" s="407"/>
      <c r="E35" s="407"/>
      <c r="F35" s="407"/>
      <c r="G35" s="451"/>
      <c r="H35" s="21">
        <v>241</v>
      </c>
      <c r="I35" s="71">
        <v>1710793</v>
      </c>
      <c r="J35" s="71">
        <v>42543</v>
      </c>
    </row>
    <row r="36" spans="1:10" s="2" customFormat="1" ht="13.5" customHeight="1">
      <c r="A36" s="441" t="s">
        <v>274</v>
      </c>
      <c r="B36" s="442"/>
      <c r="C36" s="442"/>
      <c r="D36" s="442"/>
      <c r="E36" s="442"/>
      <c r="F36" s="442"/>
      <c r="G36" s="442"/>
      <c r="H36" s="442"/>
      <c r="I36" s="442"/>
      <c r="J36" s="443"/>
    </row>
    <row r="37" spans="1:10" s="2" customFormat="1" ht="13.5" customHeight="1">
      <c r="A37" s="444" t="s">
        <v>240</v>
      </c>
      <c r="B37" s="444"/>
      <c r="C37" s="444"/>
      <c r="D37" s="444"/>
      <c r="E37" s="444"/>
      <c r="F37" s="444"/>
      <c r="G37" s="445"/>
      <c r="H37" s="92">
        <v>242</v>
      </c>
      <c r="I37" s="71">
        <v>1710793</v>
      </c>
      <c r="J37" s="71">
        <v>42543</v>
      </c>
    </row>
    <row r="38" spans="1:10" s="2" customFormat="1" ht="13.5" customHeight="1">
      <c r="A38" s="407" t="s">
        <v>241</v>
      </c>
      <c r="B38" s="407"/>
      <c r="C38" s="407"/>
      <c r="D38" s="407"/>
      <c r="E38" s="407"/>
      <c r="F38" s="407"/>
      <c r="G38" s="451"/>
      <c r="H38" s="21">
        <v>243</v>
      </c>
      <c r="I38" s="78">
        <v>0</v>
      </c>
      <c r="J38" s="78">
        <v>0</v>
      </c>
    </row>
    <row r="39" spans="1:10" s="2" customFormat="1" ht="13.5" customHeight="1">
      <c r="A39" s="441" t="s">
        <v>275</v>
      </c>
      <c r="B39" s="442"/>
      <c r="C39" s="442"/>
      <c r="D39" s="442"/>
      <c r="E39" s="442"/>
      <c r="F39" s="442"/>
      <c r="G39" s="442"/>
      <c r="H39" s="442"/>
      <c r="I39" s="442"/>
      <c r="J39" s="443"/>
    </row>
    <row r="40" spans="1:10" s="2" customFormat="1" ht="13.5" customHeight="1">
      <c r="A40" s="449" t="s">
        <v>2902</v>
      </c>
      <c r="B40" s="449"/>
      <c r="C40" s="449"/>
      <c r="D40" s="449"/>
      <c r="E40" s="449"/>
      <c r="F40" s="449"/>
      <c r="G40" s="450"/>
      <c r="H40" s="95">
        <v>244</v>
      </c>
      <c r="I40" s="96">
        <v>0</v>
      </c>
      <c r="J40" s="96">
        <v>0</v>
      </c>
    </row>
    <row r="41" spans="1:10" s="2" customFormat="1" ht="13.5" customHeight="1">
      <c r="A41" s="441" t="s">
        <v>276</v>
      </c>
      <c r="B41" s="442"/>
      <c r="C41" s="442"/>
      <c r="D41" s="442"/>
      <c r="E41" s="442"/>
      <c r="F41" s="442"/>
      <c r="G41" s="442"/>
      <c r="H41" s="442"/>
      <c r="I41" s="442"/>
      <c r="J41" s="443"/>
    </row>
    <row r="42" spans="1:10" s="2" customFormat="1" ht="24.75" customHeight="1">
      <c r="A42" s="444" t="s">
        <v>2218</v>
      </c>
      <c r="B42" s="444"/>
      <c r="C42" s="444"/>
      <c r="D42" s="444"/>
      <c r="E42" s="444"/>
      <c r="F42" s="444"/>
      <c r="G42" s="445"/>
      <c r="H42" s="92">
        <v>245</v>
      </c>
      <c r="I42" s="71">
        <v>0</v>
      </c>
      <c r="J42" s="71">
        <v>8887</v>
      </c>
    </row>
    <row r="43" spans="1:10" s="2" customFormat="1" ht="13.5" customHeight="1">
      <c r="A43" s="406" t="s">
        <v>277</v>
      </c>
      <c r="B43" s="406"/>
      <c r="C43" s="406"/>
      <c r="D43" s="406"/>
      <c r="E43" s="406"/>
      <c r="F43" s="406"/>
      <c r="G43" s="446"/>
      <c r="H43" s="19">
        <v>246</v>
      </c>
      <c r="I43" s="77">
        <v>0</v>
      </c>
      <c r="J43" s="77">
        <v>0</v>
      </c>
    </row>
    <row r="44" spans="1:10" s="2" customFormat="1" ht="13.5" customHeight="1">
      <c r="A44" s="447" t="s">
        <v>280</v>
      </c>
      <c r="B44" s="447"/>
      <c r="C44" s="447"/>
      <c r="D44" s="447"/>
      <c r="E44" s="447"/>
      <c r="F44" s="447"/>
      <c r="G44" s="448"/>
      <c r="H44" s="19">
        <v>247</v>
      </c>
      <c r="I44" s="77">
        <v>0</v>
      </c>
      <c r="J44" s="77">
        <v>0</v>
      </c>
    </row>
    <row r="45" spans="1:10" s="2" customFormat="1" ht="13.5" customHeight="1">
      <c r="A45" s="406" t="s">
        <v>278</v>
      </c>
      <c r="B45" s="406"/>
      <c r="C45" s="406"/>
      <c r="D45" s="406"/>
      <c r="E45" s="406"/>
      <c r="F45" s="406"/>
      <c r="G45" s="446"/>
      <c r="H45" s="19">
        <v>248</v>
      </c>
      <c r="I45" s="77">
        <v>0</v>
      </c>
      <c r="J45" s="77">
        <v>0</v>
      </c>
    </row>
    <row r="46" spans="1:10" s="2" customFormat="1" ht="24.75" customHeight="1">
      <c r="A46" s="406" t="s">
        <v>281</v>
      </c>
      <c r="B46" s="406"/>
      <c r="C46" s="406"/>
      <c r="D46" s="406"/>
      <c r="E46" s="406"/>
      <c r="F46" s="406"/>
      <c r="G46" s="446"/>
      <c r="H46" s="19">
        <v>249</v>
      </c>
      <c r="I46" s="77">
        <v>0</v>
      </c>
      <c r="J46" s="77">
        <v>0</v>
      </c>
    </row>
    <row r="47" spans="1:10" s="2" customFormat="1" ht="13.5" customHeight="1">
      <c r="A47" s="407" t="s">
        <v>279</v>
      </c>
      <c r="B47" s="407"/>
      <c r="C47" s="407"/>
      <c r="D47" s="407"/>
      <c r="E47" s="407"/>
      <c r="F47" s="407"/>
      <c r="G47" s="451"/>
      <c r="H47" s="21">
        <v>250</v>
      </c>
      <c r="I47" s="78">
        <v>0</v>
      </c>
      <c r="J47" s="78">
        <v>0</v>
      </c>
    </row>
    <row r="48" spans="1:10" s="2" customFormat="1" ht="13.5" customHeight="1">
      <c r="A48" s="441" t="s">
        <v>282</v>
      </c>
      <c r="B48" s="442"/>
      <c r="C48" s="442"/>
      <c r="D48" s="442"/>
      <c r="E48" s="442"/>
      <c r="F48" s="442"/>
      <c r="G48" s="442"/>
      <c r="H48" s="442"/>
      <c r="I48" s="442"/>
      <c r="J48" s="443"/>
    </row>
    <row r="49" spans="1:10" s="2" customFormat="1" ht="13.5" customHeight="1">
      <c r="A49" s="444" t="s">
        <v>284</v>
      </c>
      <c r="B49" s="444"/>
      <c r="C49" s="444"/>
      <c r="D49" s="444"/>
      <c r="E49" s="444"/>
      <c r="F49" s="444"/>
      <c r="G49" s="445"/>
      <c r="H49" s="92">
        <v>251</v>
      </c>
      <c r="I49" s="94">
        <v>0</v>
      </c>
      <c r="J49" s="94">
        <v>0</v>
      </c>
    </row>
    <row r="50" spans="1:10" s="2" customFormat="1" ht="13.5" customHeight="1">
      <c r="A50" s="406" t="s">
        <v>285</v>
      </c>
      <c r="B50" s="406"/>
      <c r="C50" s="406"/>
      <c r="D50" s="406"/>
      <c r="E50" s="406"/>
      <c r="F50" s="406"/>
      <c r="G50" s="446"/>
      <c r="H50" s="19">
        <v>252</v>
      </c>
      <c r="I50" s="77">
        <v>456657</v>
      </c>
      <c r="J50" s="77">
        <v>360267</v>
      </c>
    </row>
    <row r="51" spans="1:10" s="2" customFormat="1" ht="24.75" customHeight="1">
      <c r="A51" s="406" t="s">
        <v>2219</v>
      </c>
      <c r="B51" s="406"/>
      <c r="C51" s="406"/>
      <c r="D51" s="406"/>
      <c r="E51" s="406"/>
      <c r="F51" s="406"/>
      <c r="G51" s="446"/>
      <c r="H51" s="19">
        <v>253</v>
      </c>
      <c r="I51" s="77">
        <v>203059</v>
      </c>
      <c r="J51" s="77">
        <v>253775</v>
      </c>
    </row>
    <row r="52" spans="1:10" s="2" customFormat="1" ht="24.75" customHeight="1">
      <c r="A52" s="406" t="s">
        <v>2443</v>
      </c>
      <c r="B52" s="406"/>
      <c r="C52" s="406"/>
      <c r="D52" s="406"/>
      <c r="E52" s="406"/>
      <c r="F52" s="406"/>
      <c r="G52" s="446"/>
      <c r="H52" s="19">
        <v>254</v>
      </c>
      <c r="I52" s="77">
        <v>0</v>
      </c>
      <c r="J52" s="77">
        <v>0</v>
      </c>
    </row>
    <row r="53" spans="1:10" s="2" customFormat="1" ht="13.5" customHeight="1">
      <c r="A53" s="406" t="s">
        <v>286</v>
      </c>
      <c r="B53" s="406"/>
      <c r="C53" s="406"/>
      <c r="D53" s="406"/>
      <c r="E53" s="406"/>
      <c r="F53" s="406"/>
      <c r="G53" s="446"/>
      <c r="H53" s="19">
        <v>255</v>
      </c>
      <c r="I53" s="77">
        <v>0</v>
      </c>
      <c r="J53" s="77">
        <v>0</v>
      </c>
    </row>
    <row r="54" spans="1:10" s="2" customFormat="1" ht="13.5" customHeight="1">
      <c r="A54" s="406" t="s">
        <v>287</v>
      </c>
      <c r="B54" s="406"/>
      <c r="C54" s="406"/>
      <c r="D54" s="406"/>
      <c r="E54" s="406"/>
      <c r="F54" s="406"/>
      <c r="G54" s="446"/>
      <c r="H54" s="19">
        <v>256</v>
      </c>
      <c r="I54" s="77">
        <v>0</v>
      </c>
      <c r="J54" s="77">
        <v>0</v>
      </c>
    </row>
    <row r="55" spans="1:10" s="2" customFormat="1" ht="13.5" customHeight="1">
      <c r="A55" s="406" t="s">
        <v>2434</v>
      </c>
      <c r="B55" s="406"/>
      <c r="C55" s="406"/>
      <c r="D55" s="406"/>
      <c r="E55" s="406"/>
      <c r="F55" s="406"/>
      <c r="G55" s="446"/>
      <c r="H55" s="19">
        <v>257</v>
      </c>
      <c r="I55" s="77">
        <v>0</v>
      </c>
      <c r="J55" s="77">
        <v>0</v>
      </c>
    </row>
    <row r="56" spans="1:10" s="2" customFormat="1" ht="13.5" customHeight="1">
      <c r="A56" s="406" t="s">
        <v>2435</v>
      </c>
      <c r="B56" s="406"/>
      <c r="C56" s="406"/>
      <c r="D56" s="406"/>
      <c r="E56" s="406"/>
      <c r="F56" s="406"/>
      <c r="G56" s="446"/>
      <c r="H56" s="19">
        <v>258</v>
      </c>
      <c r="I56" s="77">
        <v>0</v>
      </c>
      <c r="J56" s="77">
        <v>0</v>
      </c>
    </row>
    <row r="57" spans="1:10" s="2" customFormat="1" ht="25.5" customHeight="1">
      <c r="A57" s="406" t="s">
        <v>2444</v>
      </c>
      <c r="B57" s="406"/>
      <c r="C57" s="406"/>
      <c r="D57" s="406"/>
      <c r="E57" s="406"/>
      <c r="F57" s="406"/>
      <c r="G57" s="446"/>
      <c r="H57" s="19">
        <v>259</v>
      </c>
      <c r="I57" s="77">
        <v>0</v>
      </c>
      <c r="J57" s="77">
        <v>0</v>
      </c>
    </row>
    <row r="58" spans="1:10" s="2" customFormat="1" ht="13.5" customHeight="1">
      <c r="A58" s="406" t="s">
        <v>2436</v>
      </c>
      <c r="B58" s="406"/>
      <c r="C58" s="406"/>
      <c r="D58" s="406"/>
      <c r="E58" s="406"/>
      <c r="F58" s="406"/>
      <c r="G58" s="446"/>
      <c r="H58" s="19">
        <v>260</v>
      </c>
      <c r="I58" s="77">
        <v>0</v>
      </c>
      <c r="J58" s="77">
        <v>0</v>
      </c>
    </row>
    <row r="59" spans="1:10" s="2" customFormat="1" ht="13.5" customHeight="1">
      <c r="A59" s="406" t="s">
        <v>2437</v>
      </c>
      <c r="B59" s="406"/>
      <c r="C59" s="406"/>
      <c r="D59" s="406"/>
      <c r="E59" s="406"/>
      <c r="F59" s="406"/>
      <c r="G59" s="446"/>
      <c r="H59" s="19">
        <v>261</v>
      </c>
      <c r="I59" s="77">
        <v>0</v>
      </c>
      <c r="J59" s="77">
        <v>0</v>
      </c>
    </row>
    <row r="60" spans="1:10" s="2" customFormat="1" ht="13.5" customHeight="1">
      <c r="A60" s="406" t="s">
        <v>2438</v>
      </c>
      <c r="B60" s="406"/>
      <c r="C60" s="406"/>
      <c r="D60" s="406"/>
      <c r="E60" s="406"/>
      <c r="F60" s="406"/>
      <c r="G60" s="446"/>
      <c r="H60" s="19">
        <v>262</v>
      </c>
      <c r="I60" s="77">
        <v>4233</v>
      </c>
      <c r="J60" s="77">
        <v>40279</v>
      </c>
    </row>
    <row r="61" spans="1:10" s="2" customFormat="1" ht="13.5" customHeight="1">
      <c r="A61" s="447" t="s">
        <v>2445</v>
      </c>
      <c r="B61" s="447"/>
      <c r="C61" s="447"/>
      <c r="D61" s="447"/>
      <c r="E61" s="447"/>
      <c r="F61" s="447"/>
      <c r="G61" s="448"/>
      <c r="H61" s="19">
        <v>263</v>
      </c>
      <c r="I61" s="77">
        <v>0</v>
      </c>
      <c r="J61" s="77">
        <v>0</v>
      </c>
    </row>
    <row r="62" spans="1:10" s="2" customFormat="1" ht="13.5" customHeight="1">
      <c r="A62" s="406" t="s">
        <v>2439</v>
      </c>
      <c r="B62" s="406"/>
      <c r="C62" s="406"/>
      <c r="D62" s="406"/>
      <c r="E62" s="406"/>
      <c r="F62" s="406"/>
      <c r="G62" s="446"/>
      <c r="H62" s="19">
        <v>264</v>
      </c>
      <c r="I62" s="77">
        <v>0</v>
      </c>
      <c r="J62" s="77">
        <v>0</v>
      </c>
    </row>
    <row r="63" spans="1:10" s="2" customFormat="1" ht="13.5" customHeight="1">
      <c r="A63" s="406" t="s">
        <v>2440</v>
      </c>
      <c r="B63" s="406"/>
      <c r="C63" s="406"/>
      <c r="D63" s="406"/>
      <c r="E63" s="406"/>
      <c r="F63" s="406"/>
      <c r="G63" s="446"/>
      <c r="H63" s="19">
        <v>265</v>
      </c>
      <c r="I63" s="77">
        <v>0</v>
      </c>
      <c r="J63" s="77">
        <v>0</v>
      </c>
    </row>
    <row r="64" spans="1:10" s="2" customFormat="1" ht="13.5" customHeight="1">
      <c r="A64" s="406" t="s">
        <v>2441</v>
      </c>
      <c r="B64" s="406"/>
      <c r="C64" s="406"/>
      <c r="D64" s="406"/>
      <c r="E64" s="406"/>
      <c r="F64" s="406"/>
      <c r="G64" s="446"/>
      <c r="H64" s="19">
        <v>266</v>
      </c>
      <c r="I64" s="77">
        <v>635061</v>
      </c>
      <c r="J64" s="77">
        <v>522119</v>
      </c>
    </row>
    <row r="65" spans="1:10" s="2" customFormat="1" ht="13.5" customHeight="1">
      <c r="A65" s="406" t="s">
        <v>2442</v>
      </c>
      <c r="B65" s="406"/>
      <c r="C65" s="406"/>
      <c r="D65" s="406"/>
      <c r="E65" s="406"/>
      <c r="F65" s="406"/>
      <c r="G65" s="446"/>
      <c r="H65" s="19">
        <v>267</v>
      </c>
      <c r="I65" s="77">
        <v>29698</v>
      </c>
      <c r="J65" s="77">
        <v>48864</v>
      </c>
    </row>
    <row r="66" spans="1:10" s="2" customFormat="1" ht="13.5" customHeight="1">
      <c r="A66" s="447" t="s">
        <v>2903</v>
      </c>
      <c r="B66" s="447"/>
      <c r="C66" s="447"/>
      <c r="D66" s="447"/>
      <c r="E66" s="447"/>
      <c r="F66" s="447"/>
      <c r="G66" s="448"/>
      <c r="H66" s="19">
        <v>268</v>
      </c>
      <c r="I66" s="77">
        <v>0</v>
      </c>
      <c r="J66" s="77">
        <v>26416</v>
      </c>
    </row>
    <row r="67" spans="1:10" s="2" customFormat="1" ht="24.75" customHeight="1">
      <c r="A67" s="406" t="s">
        <v>2220</v>
      </c>
      <c r="B67" s="406"/>
      <c r="C67" s="406"/>
      <c r="D67" s="406"/>
      <c r="E67" s="406"/>
      <c r="F67" s="406"/>
      <c r="G67" s="446"/>
      <c r="H67" s="19">
        <v>269</v>
      </c>
      <c r="I67" s="77">
        <v>0</v>
      </c>
      <c r="J67" s="77">
        <v>0</v>
      </c>
    </row>
    <row r="68" spans="1:10" s="2" customFormat="1" ht="13.5" customHeight="1">
      <c r="A68" s="406" t="s">
        <v>2448</v>
      </c>
      <c r="B68" s="406"/>
      <c r="C68" s="406"/>
      <c r="D68" s="406"/>
      <c r="E68" s="406"/>
      <c r="F68" s="406"/>
      <c r="G68" s="446"/>
      <c r="H68" s="19">
        <v>270</v>
      </c>
      <c r="I68" s="77">
        <v>0</v>
      </c>
      <c r="J68" s="77">
        <v>0</v>
      </c>
    </row>
    <row r="69" spans="1:10" s="2" customFormat="1" ht="13.5" customHeight="1">
      <c r="A69" s="406" t="s">
        <v>2447</v>
      </c>
      <c r="B69" s="406"/>
      <c r="C69" s="406"/>
      <c r="D69" s="406"/>
      <c r="E69" s="406"/>
      <c r="F69" s="406"/>
      <c r="G69" s="446"/>
      <c r="H69" s="19">
        <v>271</v>
      </c>
      <c r="I69" s="77">
        <v>0</v>
      </c>
      <c r="J69" s="77">
        <v>0</v>
      </c>
    </row>
    <row r="70" spans="1:10" s="2" customFormat="1" ht="24.75" customHeight="1">
      <c r="A70" s="406" t="s">
        <v>2446</v>
      </c>
      <c r="B70" s="406"/>
      <c r="C70" s="406"/>
      <c r="D70" s="406"/>
      <c r="E70" s="406"/>
      <c r="F70" s="406"/>
      <c r="G70" s="446"/>
      <c r="H70" s="19">
        <v>272</v>
      </c>
      <c r="I70" s="77">
        <v>0</v>
      </c>
      <c r="J70" s="77">
        <v>0</v>
      </c>
    </row>
    <row r="71" spans="1:10" s="2" customFormat="1" ht="13.5" customHeight="1">
      <c r="A71" s="407" t="s">
        <v>396</v>
      </c>
      <c r="B71" s="407"/>
      <c r="C71" s="407"/>
      <c r="D71" s="407"/>
      <c r="E71" s="407"/>
      <c r="F71" s="407"/>
      <c r="G71" s="451"/>
      <c r="H71" s="21">
        <v>273</v>
      </c>
      <c r="I71" s="78">
        <v>0</v>
      </c>
      <c r="J71" s="78">
        <v>0</v>
      </c>
    </row>
    <row r="72" spans="1:10" s="2" customFormat="1" ht="13.5" customHeight="1">
      <c r="A72" s="441" t="s">
        <v>283</v>
      </c>
      <c r="B72" s="442"/>
      <c r="C72" s="442"/>
      <c r="D72" s="442"/>
      <c r="E72" s="442"/>
      <c r="F72" s="442"/>
      <c r="G72" s="442"/>
      <c r="H72" s="442"/>
      <c r="I72" s="442"/>
      <c r="J72" s="443"/>
    </row>
    <row r="73" spans="1:10" s="2" customFormat="1" ht="13.5" customHeight="1">
      <c r="A73" s="444" t="s">
        <v>243</v>
      </c>
      <c r="B73" s="444"/>
      <c r="C73" s="444"/>
      <c r="D73" s="444"/>
      <c r="E73" s="444"/>
      <c r="F73" s="444"/>
      <c r="G73" s="445"/>
      <c r="H73" s="92">
        <v>274</v>
      </c>
      <c r="I73" s="94">
        <v>780150</v>
      </c>
      <c r="J73" s="71">
        <v>13716</v>
      </c>
    </row>
    <row r="74" spans="1:10" s="2" customFormat="1" ht="13.5" customHeight="1">
      <c r="A74" s="406" t="s">
        <v>244</v>
      </c>
      <c r="B74" s="406"/>
      <c r="C74" s="406"/>
      <c r="D74" s="406"/>
      <c r="E74" s="406"/>
      <c r="F74" s="406"/>
      <c r="G74" s="446"/>
      <c r="H74" s="19">
        <v>275</v>
      </c>
      <c r="I74" s="77">
        <v>0</v>
      </c>
      <c r="J74" s="77">
        <v>0</v>
      </c>
    </row>
    <row r="75" spans="1:10" s="2" customFormat="1" ht="13.5" customHeight="1">
      <c r="A75" s="406" t="s">
        <v>1923</v>
      </c>
      <c r="B75" s="406"/>
      <c r="C75" s="406"/>
      <c r="D75" s="406"/>
      <c r="E75" s="406"/>
      <c r="F75" s="406"/>
      <c r="G75" s="446"/>
      <c r="H75" s="19">
        <v>276</v>
      </c>
      <c r="I75" s="77">
        <v>0</v>
      </c>
      <c r="J75" s="77">
        <v>0</v>
      </c>
    </row>
    <row r="76" spans="1:10" s="2" customFormat="1" ht="13.5" customHeight="1">
      <c r="A76" s="407" t="s">
        <v>1924</v>
      </c>
      <c r="B76" s="407"/>
      <c r="C76" s="407"/>
      <c r="D76" s="407"/>
      <c r="E76" s="407"/>
      <c r="F76" s="407"/>
      <c r="G76" s="451"/>
      <c r="H76" s="21">
        <v>277</v>
      </c>
      <c r="I76" s="71">
        <v>187946</v>
      </c>
      <c r="J76" s="71">
        <v>86740</v>
      </c>
    </row>
    <row r="77" spans="1:10" s="2" customFormat="1" ht="13.5" customHeight="1">
      <c r="A77" s="441" t="s">
        <v>395</v>
      </c>
      <c r="B77" s="442"/>
      <c r="C77" s="442"/>
      <c r="D77" s="442"/>
      <c r="E77" s="442"/>
      <c r="F77" s="442"/>
      <c r="G77" s="442"/>
      <c r="H77" s="442"/>
      <c r="I77" s="442"/>
      <c r="J77" s="443"/>
    </row>
    <row r="78" spans="1:10" s="2" customFormat="1" ht="24.75" customHeight="1">
      <c r="A78" s="444" t="s">
        <v>1651</v>
      </c>
      <c r="B78" s="444"/>
      <c r="C78" s="444"/>
      <c r="D78" s="444"/>
      <c r="E78" s="444"/>
      <c r="F78" s="444"/>
      <c r="G78" s="445"/>
      <c r="H78" s="92">
        <v>278</v>
      </c>
      <c r="I78" s="228">
        <f>SUM(I79:I82)</f>
        <v>0</v>
      </c>
      <c r="J78" s="228">
        <f>SUM(J79:J82)</f>
        <v>12639</v>
      </c>
    </row>
    <row r="79" spans="1:10" s="2" customFormat="1" ht="13.5" customHeight="1">
      <c r="A79" s="406" t="s">
        <v>629</v>
      </c>
      <c r="B79" s="406"/>
      <c r="C79" s="406"/>
      <c r="D79" s="406"/>
      <c r="E79" s="406"/>
      <c r="F79" s="406"/>
      <c r="G79" s="446"/>
      <c r="H79" s="19">
        <v>279</v>
      </c>
      <c r="I79" s="77">
        <v>0</v>
      </c>
      <c r="J79" s="77">
        <v>0</v>
      </c>
    </row>
    <row r="80" spans="1:10" s="2" customFormat="1" ht="13.5" customHeight="1">
      <c r="A80" s="406" t="s">
        <v>630</v>
      </c>
      <c r="B80" s="406"/>
      <c r="C80" s="406"/>
      <c r="D80" s="406"/>
      <c r="E80" s="406"/>
      <c r="F80" s="406"/>
      <c r="G80" s="446"/>
      <c r="H80" s="19">
        <v>280</v>
      </c>
      <c r="I80" s="77">
        <v>0</v>
      </c>
      <c r="J80" s="77">
        <v>0</v>
      </c>
    </row>
    <row r="81" spans="1:10" s="2" customFormat="1" ht="13.5" customHeight="1">
      <c r="A81" s="406" t="s">
        <v>1</v>
      </c>
      <c r="B81" s="406"/>
      <c r="C81" s="406"/>
      <c r="D81" s="406"/>
      <c r="E81" s="406"/>
      <c r="F81" s="406"/>
      <c r="G81" s="446"/>
      <c r="H81" s="19">
        <v>281</v>
      </c>
      <c r="I81" s="77">
        <v>0</v>
      </c>
      <c r="J81" s="77">
        <v>12639</v>
      </c>
    </row>
    <row r="82" spans="1:10" s="2" customFormat="1" ht="36" customHeight="1">
      <c r="A82" s="406" t="s">
        <v>4</v>
      </c>
      <c r="B82" s="406"/>
      <c r="C82" s="406"/>
      <c r="D82" s="406"/>
      <c r="E82" s="406"/>
      <c r="F82" s="406"/>
      <c r="G82" s="446"/>
      <c r="H82" s="19">
        <v>282</v>
      </c>
      <c r="I82" s="77">
        <v>0</v>
      </c>
      <c r="J82" s="77">
        <v>0</v>
      </c>
    </row>
    <row r="83" spans="1:10" s="2" customFormat="1" ht="13.5" customHeight="1">
      <c r="A83" s="406" t="s">
        <v>2</v>
      </c>
      <c r="B83" s="406"/>
      <c r="C83" s="406"/>
      <c r="D83" s="406"/>
      <c r="E83" s="406"/>
      <c r="F83" s="406"/>
      <c r="G83" s="446"/>
      <c r="H83" s="19">
        <v>283</v>
      </c>
      <c r="I83" s="77">
        <v>0</v>
      </c>
      <c r="J83" s="77">
        <v>0</v>
      </c>
    </row>
    <row r="84" spans="1:10" s="2" customFormat="1" ht="13.5" customHeight="1">
      <c r="A84" s="406" t="s">
        <v>3</v>
      </c>
      <c r="B84" s="406"/>
      <c r="C84" s="406"/>
      <c r="D84" s="406"/>
      <c r="E84" s="406"/>
      <c r="F84" s="406"/>
      <c r="G84" s="446"/>
      <c r="H84" s="19">
        <v>284</v>
      </c>
      <c r="I84" s="77">
        <v>0</v>
      </c>
      <c r="J84" s="77">
        <v>0</v>
      </c>
    </row>
    <row r="85" spans="1:10" s="2" customFormat="1" ht="24.75" customHeight="1">
      <c r="A85" s="406" t="s">
        <v>2221</v>
      </c>
      <c r="B85" s="406"/>
      <c r="C85" s="406"/>
      <c r="D85" s="406"/>
      <c r="E85" s="406"/>
      <c r="F85" s="406"/>
      <c r="G85" s="446"/>
      <c r="H85" s="19">
        <v>285</v>
      </c>
      <c r="I85" s="77">
        <v>0</v>
      </c>
      <c r="J85" s="77">
        <v>0</v>
      </c>
    </row>
    <row r="86" spans="1:10" s="2" customFormat="1" ht="24.75" customHeight="1">
      <c r="A86" s="407" t="s">
        <v>5</v>
      </c>
      <c r="B86" s="407"/>
      <c r="C86" s="407"/>
      <c r="D86" s="407"/>
      <c r="E86" s="407"/>
      <c r="F86" s="407"/>
      <c r="G86" s="451"/>
      <c r="H86" s="21">
        <v>286</v>
      </c>
      <c r="I86" s="78">
        <v>0</v>
      </c>
      <c r="J86" s="78">
        <v>0</v>
      </c>
    </row>
    <row r="87" spans="1:10" s="2" customFormat="1" ht="13.5" customHeight="1">
      <c r="A87" s="441" t="s">
        <v>628</v>
      </c>
      <c r="B87" s="442"/>
      <c r="C87" s="442"/>
      <c r="D87" s="442"/>
      <c r="E87" s="442"/>
      <c r="F87" s="442"/>
      <c r="G87" s="442"/>
      <c r="H87" s="442"/>
      <c r="I87" s="442"/>
      <c r="J87" s="443"/>
    </row>
    <row r="88" spans="1:13" s="2" customFormat="1" ht="36" customHeight="1">
      <c r="A88" s="449" t="s">
        <v>6</v>
      </c>
      <c r="B88" s="449"/>
      <c r="C88" s="449"/>
      <c r="D88" s="449"/>
      <c r="E88" s="449"/>
      <c r="F88" s="449"/>
      <c r="G88" s="450"/>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4 I38:J38 I40:J40 I43:J47 I78:J86 I74:J75 I88:J88 I71:J71 I73 I49:J67">
    <cfRule type="cellIs" priority="13" dxfId="2" operator="notEqual" stopIfTrue="1">
      <formula>ROUND(I9,0)</formula>
    </cfRule>
    <cfRule type="cellIs" priority="14" dxfId="1" operator="lessThan" stopIfTrue="1">
      <formula>0</formula>
    </cfRule>
  </conditionalFormatting>
  <conditionalFormatting sqref="I68:J70">
    <cfRule type="cellIs" priority="15" dxfId="2" operator="notEqual" stopIfTrue="1">
      <formula>ROUND(I68,0)</formula>
    </cfRule>
  </conditionalFormatting>
  <conditionalFormatting sqref="J35">
    <cfRule type="cellIs" priority="11" dxfId="2" operator="notEqual" stopIfTrue="1">
      <formula>ROUND(J35,0)</formula>
    </cfRule>
    <cfRule type="cellIs" priority="12" dxfId="1" operator="lessThan" stopIfTrue="1">
      <formula>0</formula>
    </cfRule>
  </conditionalFormatting>
  <conditionalFormatting sqref="I37:J37">
    <cfRule type="cellIs" priority="9" dxfId="2" operator="notEqual" stopIfTrue="1">
      <formula>ROUND(I37,0)</formula>
    </cfRule>
    <cfRule type="cellIs" priority="10" dxfId="1" operator="lessThan" stopIfTrue="1">
      <formula>0</formula>
    </cfRule>
  </conditionalFormatting>
  <conditionalFormatting sqref="I42:J42">
    <cfRule type="cellIs" priority="7" dxfId="2" operator="notEqual" stopIfTrue="1">
      <formula>ROUND(I42,0)</formula>
    </cfRule>
    <cfRule type="cellIs" priority="8" dxfId="1" operator="lessThan" stopIfTrue="1">
      <formula>0</formula>
    </cfRule>
  </conditionalFormatting>
  <conditionalFormatting sqref="J73">
    <cfRule type="cellIs" priority="5" dxfId="2" operator="notEqual" stopIfTrue="1">
      <formula>ROUND(J73,0)</formula>
    </cfRule>
    <cfRule type="cellIs" priority="6" dxfId="1" operator="lessThan" stopIfTrue="1">
      <formula>0</formula>
    </cfRule>
  </conditionalFormatting>
  <conditionalFormatting sqref="I76:J76">
    <cfRule type="cellIs" priority="3" dxfId="2" operator="notEqual" stopIfTrue="1">
      <formula>ROUND(I76,0)</formula>
    </cfRule>
    <cfRule type="cellIs" priority="4" dxfId="1" operator="lessThan" stopIfTrue="1">
      <formula>0</formula>
    </cfRule>
  </conditionalFormatting>
  <conditionalFormatting sqref="I35">
    <cfRule type="cellIs" priority="1" dxfId="2" operator="notEqual" stopIfTrue="1">
      <formula>ROUND(I35,0)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H9" sqref="H9"/>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5" t="s">
        <v>1454</v>
      </c>
      <c r="B2" s="436"/>
      <c r="C2" s="436"/>
      <c r="D2" s="436"/>
      <c r="E2" s="436"/>
      <c r="F2" s="436"/>
      <c r="G2" s="436"/>
      <c r="H2" s="436"/>
      <c r="I2" s="457"/>
      <c r="J2" s="391" t="s">
        <v>2594</v>
      </c>
      <c r="Q2" s="74">
        <f>IF(OR(MIN(I8:I60)&lt;0,MAX(I8:I60)&gt;0),1,0)</f>
        <v>0</v>
      </c>
      <c r="R2" s="73" t="s">
        <v>2586</v>
      </c>
    </row>
    <row r="3" spans="1:18" s="2" customFormat="1" ht="19.5" customHeight="1" thickBot="1">
      <c r="A3" s="438" t="str">
        <f>"u razdoblju "&amp;IF(RefStr!C4&lt;&gt;"",TEXT(RefStr!C4,"DD.MM.YYYY."),"__.__.____.")&amp;" do "&amp;IF(RefStr!F4&lt;&gt;"",TEXT(RefStr!F4,"DD.MM.YYYY."),"__.__.____.")</f>
        <v>u razdoblju 01.01.2019. do 31.12.2019.</v>
      </c>
      <c r="B3" s="439"/>
      <c r="C3" s="439"/>
      <c r="D3" s="439"/>
      <c r="E3" s="439"/>
      <c r="F3" s="439"/>
      <c r="G3" s="439"/>
      <c r="H3" s="439"/>
      <c r="I3" s="458"/>
      <c r="J3" s="425"/>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9" t="str">
        <f>"Obveznik: "&amp;IF(RefStr!C27&lt;&gt;"",RefStr!C27,"________")&amp;"; "&amp;IF(RefStr!C29&lt;&gt;"",RefStr!C29,"________________________________________________________"&amp;"; "&amp;IF(RefStr!F31&lt;&gt;"",RefStr!F31,"_______________"))</f>
        <v>Obveznik: 07538718933; ISTRA d.d.</v>
      </c>
      <c r="B5" s="400"/>
      <c r="C5" s="400"/>
      <c r="D5" s="400"/>
      <c r="E5" s="400"/>
      <c r="F5" s="400"/>
      <c r="G5" s="400"/>
      <c r="H5" s="400"/>
      <c r="I5" s="400"/>
      <c r="J5" s="401"/>
    </row>
    <row r="6" spans="1:10" s="2" customFormat="1" ht="24.75" customHeight="1" thickBot="1">
      <c r="A6" s="453" t="s">
        <v>719</v>
      </c>
      <c r="B6" s="454"/>
      <c r="C6" s="454"/>
      <c r="D6" s="454"/>
      <c r="E6" s="454"/>
      <c r="F6" s="454"/>
      <c r="G6" s="98" t="s">
        <v>799</v>
      </c>
      <c r="H6" s="102" t="s">
        <v>1968</v>
      </c>
      <c r="I6" s="98" t="s">
        <v>459</v>
      </c>
      <c r="J6" s="99" t="s">
        <v>460</v>
      </c>
    </row>
    <row r="7" spans="1:10" s="2" customFormat="1" ht="13.5" customHeight="1">
      <c r="A7" s="455">
        <v>1</v>
      </c>
      <c r="B7" s="456"/>
      <c r="C7" s="456"/>
      <c r="D7" s="456"/>
      <c r="E7" s="456"/>
      <c r="F7" s="456"/>
      <c r="G7" s="117">
        <v>2</v>
      </c>
      <c r="H7" s="118">
        <v>3</v>
      </c>
      <c r="I7" s="119">
        <v>4</v>
      </c>
      <c r="J7" s="120">
        <v>5</v>
      </c>
    </row>
    <row r="8" spans="1:10" s="2" customFormat="1" ht="15" customHeight="1">
      <c r="A8" s="441" t="s">
        <v>7</v>
      </c>
      <c r="B8" s="442"/>
      <c r="C8" s="442"/>
      <c r="D8" s="442"/>
      <c r="E8" s="442"/>
      <c r="F8" s="442"/>
      <c r="G8" s="442"/>
      <c r="H8" s="442"/>
      <c r="I8" s="442"/>
      <c r="J8" s="443"/>
    </row>
    <row r="9" spans="1:10" s="2" customFormat="1" ht="13.5" customHeight="1">
      <c r="A9" s="444" t="s">
        <v>8</v>
      </c>
      <c r="B9" s="444"/>
      <c r="C9" s="444"/>
      <c r="D9" s="444"/>
      <c r="E9" s="444"/>
      <c r="F9" s="444"/>
      <c r="G9" s="92">
        <v>1</v>
      </c>
      <c r="H9" s="124" t="s">
        <v>1813</v>
      </c>
      <c r="I9" s="142">
        <v>0</v>
      </c>
      <c r="J9" s="142">
        <v>0</v>
      </c>
    </row>
    <row r="10" spans="1:10" s="2" customFormat="1" ht="13.5" customHeight="1">
      <c r="A10" s="406" t="s">
        <v>238</v>
      </c>
      <c r="B10" s="406"/>
      <c r="C10" s="406"/>
      <c r="D10" s="406"/>
      <c r="E10" s="406"/>
      <c r="F10" s="406"/>
      <c r="G10" s="19">
        <v>2</v>
      </c>
      <c r="H10" s="23" t="s">
        <v>1813</v>
      </c>
      <c r="I10" s="125">
        <f>SUM(I11:I18)</f>
        <v>0</v>
      </c>
      <c r="J10" s="125">
        <f>SUM(J11:J18)</f>
        <v>0</v>
      </c>
    </row>
    <row r="11" spans="1:10" s="2" customFormat="1" ht="13.5" customHeight="1">
      <c r="A11" s="447" t="s">
        <v>2335</v>
      </c>
      <c r="B11" s="447"/>
      <c r="C11" s="447"/>
      <c r="D11" s="447"/>
      <c r="E11" s="447"/>
      <c r="F11" s="447"/>
      <c r="G11" s="19">
        <v>3</v>
      </c>
      <c r="H11" s="23" t="s">
        <v>1813</v>
      </c>
      <c r="I11" s="126">
        <v>0</v>
      </c>
      <c r="J11" s="126">
        <v>0</v>
      </c>
    </row>
    <row r="12" spans="1:10" s="2" customFormat="1" ht="24.75" customHeight="1">
      <c r="A12" s="447" t="s">
        <v>2910</v>
      </c>
      <c r="B12" s="447"/>
      <c r="C12" s="447"/>
      <c r="D12" s="447"/>
      <c r="E12" s="447"/>
      <c r="F12" s="447"/>
      <c r="G12" s="19">
        <v>4</v>
      </c>
      <c r="H12" s="23" t="s">
        <v>1813</v>
      </c>
      <c r="I12" s="126">
        <v>0</v>
      </c>
      <c r="J12" s="126">
        <v>0</v>
      </c>
    </row>
    <row r="13" spans="1:10" s="2" customFormat="1" ht="24.75" customHeight="1">
      <c r="A13" s="447" t="s">
        <v>2911</v>
      </c>
      <c r="B13" s="447"/>
      <c r="C13" s="447"/>
      <c r="D13" s="447"/>
      <c r="E13" s="447"/>
      <c r="F13" s="447"/>
      <c r="G13" s="19">
        <v>5</v>
      </c>
      <c r="H13" s="23" t="s">
        <v>1813</v>
      </c>
      <c r="I13" s="126">
        <v>0</v>
      </c>
      <c r="J13" s="126">
        <v>0</v>
      </c>
    </row>
    <row r="14" spans="1:12" s="2" customFormat="1" ht="13.5" customHeight="1">
      <c r="A14" s="447" t="s">
        <v>2336</v>
      </c>
      <c r="B14" s="447"/>
      <c r="C14" s="447"/>
      <c r="D14" s="447"/>
      <c r="E14" s="447"/>
      <c r="F14" s="447"/>
      <c r="G14" s="19">
        <v>6</v>
      </c>
      <c r="H14" s="23" t="s">
        <v>1813</v>
      </c>
      <c r="I14" s="126">
        <v>0</v>
      </c>
      <c r="J14" s="126">
        <v>0</v>
      </c>
      <c r="L14" s="73"/>
    </row>
    <row r="15" spans="1:10" s="2" customFormat="1" ht="13.5" customHeight="1">
      <c r="A15" s="447" t="s">
        <v>2337</v>
      </c>
      <c r="B15" s="447"/>
      <c r="C15" s="447"/>
      <c r="D15" s="447"/>
      <c r="E15" s="447"/>
      <c r="F15" s="447"/>
      <c r="G15" s="19">
        <v>7</v>
      </c>
      <c r="H15" s="23" t="s">
        <v>1813</v>
      </c>
      <c r="I15" s="126">
        <v>0</v>
      </c>
      <c r="J15" s="126">
        <v>0</v>
      </c>
    </row>
    <row r="16" spans="1:10" s="2" customFormat="1" ht="13.5" customHeight="1">
      <c r="A16" s="447" t="s">
        <v>2338</v>
      </c>
      <c r="B16" s="447"/>
      <c r="C16" s="447"/>
      <c r="D16" s="447"/>
      <c r="E16" s="447"/>
      <c r="F16" s="447"/>
      <c r="G16" s="19">
        <v>8</v>
      </c>
      <c r="H16" s="23" t="s">
        <v>1813</v>
      </c>
      <c r="I16" s="126">
        <v>0</v>
      </c>
      <c r="J16" s="126">
        <v>0</v>
      </c>
    </row>
    <row r="17" spans="1:10" s="2" customFormat="1" ht="13.5" customHeight="1">
      <c r="A17" s="447" t="s">
        <v>2339</v>
      </c>
      <c r="B17" s="447"/>
      <c r="C17" s="447"/>
      <c r="D17" s="447"/>
      <c r="E17" s="447"/>
      <c r="F17" s="447"/>
      <c r="G17" s="19">
        <v>9</v>
      </c>
      <c r="H17" s="23" t="s">
        <v>1813</v>
      </c>
      <c r="I17" s="126">
        <v>0</v>
      </c>
      <c r="J17" s="126">
        <v>0</v>
      </c>
    </row>
    <row r="18" spans="1:10" s="2" customFormat="1" ht="13.5" customHeight="1">
      <c r="A18" s="447" t="s">
        <v>2909</v>
      </c>
      <c r="B18" s="447"/>
      <c r="C18" s="447"/>
      <c r="D18" s="447"/>
      <c r="E18" s="447"/>
      <c r="F18" s="447"/>
      <c r="G18" s="19">
        <v>10</v>
      </c>
      <c r="H18" s="23" t="s">
        <v>1813</v>
      </c>
      <c r="I18" s="126">
        <v>0</v>
      </c>
      <c r="J18" s="126">
        <v>0</v>
      </c>
    </row>
    <row r="19" spans="1:14" s="2" customFormat="1" ht="24.75" customHeight="1">
      <c r="A19" s="409" t="s">
        <v>2908</v>
      </c>
      <c r="B19" s="409"/>
      <c r="C19" s="409"/>
      <c r="D19" s="409"/>
      <c r="E19" s="409"/>
      <c r="F19" s="409"/>
      <c r="G19" s="19">
        <v>11</v>
      </c>
      <c r="H19" s="23" t="s">
        <v>1813</v>
      </c>
      <c r="I19" s="125">
        <f>I9+I10</f>
        <v>0</v>
      </c>
      <c r="J19" s="125">
        <f>J9+J10</f>
        <v>0</v>
      </c>
      <c r="N19" s="2">
        <f>IF(MIN(NT_I!I11:J11,NT_I!I15:J15,NT_I!I30:J36,NT_I!I59:J60)&lt;0,1,0)</f>
        <v>0</v>
      </c>
    </row>
    <row r="20" spans="1:10" s="2" customFormat="1" ht="13.5" customHeight="1">
      <c r="A20" s="406" t="s">
        <v>461</v>
      </c>
      <c r="B20" s="406"/>
      <c r="C20" s="406"/>
      <c r="D20" s="406"/>
      <c r="E20" s="406"/>
      <c r="F20" s="406"/>
      <c r="G20" s="19">
        <v>12</v>
      </c>
      <c r="H20" s="23" t="s">
        <v>1813</v>
      </c>
      <c r="I20" s="125">
        <f>SUM(I21:I24)</f>
        <v>0</v>
      </c>
      <c r="J20" s="125">
        <f>SUM(J21:J24)</f>
        <v>0</v>
      </c>
    </row>
    <row r="21" spans="1:10" s="2" customFormat="1" ht="13.5" customHeight="1">
      <c r="A21" s="447" t="s">
        <v>2052</v>
      </c>
      <c r="B21" s="447"/>
      <c r="C21" s="447"/>
      <c r="D21" s="447"/>
      <c r="E21" s="447"/>
      <c r="F21" s="447"/>
      <c r="G21" s="19">
        <v>13</v>
      </c>
      <c r="H21" s="23" t="s">
        <v>1813</v>
      </c>
      <c r="I21" s="126">
        <v>0</v>
      </c>
      <c r="J21" s="126">
        <v>0</v>
      </c>
    </row>
    <row r="22" spans="1:10" s="2" customFormat="1" ht="13.5" customHeight="1">
      <c r="A22" s="447" t="s">
        <v>2053</v>
      </c>
      <c r="B22" s="447"/>
      <c r="C22" s="447"/>
      <c r="D22" s="447"/>
      <c r="E22" s="447"/>
      <c r="F22" s="447"/>
      <c r="G22" s="19">
        <v>14</v>
      </c>
      <c r="H22" s="23" t="s">
        <v>1813</v>
      </c>
      <c r="I22" s="126">
        <v>0</v>
      </c>
      <c r="J22" s="126">
        <v>0</v>
      </c>
    </row>
    <row r="23" spans="1:10" s="2" customFormat="1" ht="13.5" customHeight="1">
      <c r="A23" s="447" t="s">
        <v>2054</v>
      </c>
      <c r="B23" s="447"/>
      <c r="C23" s="447"/>
      <c r="D23" s="447"/>
      <c r="E23" s="447"/>
      <c r="F23" s="447"/>
      <c r="G23" s="19">
        <v>15</v>
      </c>
      <c r="H23" s="23" t="s">
        <v>1813</v>
      </c>
      <c r="I23" s="126">
        <v>0</v>
      </c>
      <c r="J23" s="126">
        <v>0</v>
      </c>
    </row>
    <row r="24" spans="1:10" s="2" customFormat="1" ht="13.5" customHeight="1">
      <c r="A24" s="447" t="s">
        <v>2055</v>
      </c>
      <c r="B24" s="447"/>
      <c r="C24" s="447"/>
      <c r="D24" s="447"/>
      <c r="E24" s="447"/>
      <c r="F24" s="447"/>
      <c r="G24" s="19">
        <v>16</v>
      </c>
      <c r="H24" s="23" t="s">
        <v>1813</v>
      </c>
      <c r="I24" s="126">
        <v>0</v>
      </c>
      <c r="J24" s="126">
        <v>0</v>
      </c>
    </row>
    <row r="25" spans="1:10" s="2" customFormat="1" ht="13.5" customHeight="1">
      <c r="A25" s="409" t="s">
        <v>2524</v>
      </c>
      <c r="B25" s="409"/>
      <c r="C25" s="409"/>
      <c r="D25" s="409"/>
      <c r="E25" s="409"/>
      <c r="F25" s="409"/>
      <c r="G25" s="19">
        <v>17</v>
      </c>
      <c r="H25" s="23" t="s">
        <v>1813</v>
      </c>
      <c r="I25" s="125">
        <f>I19+I20</f>
        <v>0</v>
      </c>
      <c r="J25" s="125">
        <f>J19+J20</f>
        <v>0</v>
      </c>
    </row>
    <row r="26" spans="1:10" s="2" customFormat="1" ht="13.5" customHeight="1">
      <c r="A26" s="406" t="s">
        <v>226</v>
      </c>
      <c r="B26" s="406"/>
      <c r="C26" s="406"/>
      <c r="D26" s="406"/>
      <c r="E26" s="406"/>
      <c r="F26" s="406"/>
      <c r="G26" s="19">
        <v>18</v>
      </c>
      <c r="H26" s="23" t="s">
        <v>1813</v>
      </c>
      <c r="I26" s="126">
        <v>0</v>
      </c>
      <c r="J26" s="126">
        <v>0</v>
      </c>
    </row>
    <row r="27" spans="1:10" s="2" customFormat="1" ht="13.5" customHeight="1">
      <c r="A27" s="406" t="s">
        <v>227</v>
      </c>
      <c r="B27" s="406"/>
      <c r="C27" s="406"/>
      <c r="D27" s="406"/>
      <c r="E27" s="406"/>
      <c r="F27" s="406"/>
      <c r="G27" s="19">
        <v>19</v>
      </c>
      <c r="H27" s="23" t="s">
        <v>1813</v>
      </c>
      <c r="I27" s="126">
        <v>0</v>
      </c>
      <c r="J27" s="126">
        <v>0</v>
      </c>
    </row>
    <row r="28" spans="1:10" s="2" customFormat="1" ht="13.5" customHeight="1">
      <c r="A28" s="452" t="s">
        <v>237</v>
      </c>
      <c r="B28" s="452"/>
      <c r="C28" s="452"/>
      <c r="D28" s="452"/>
      <c r="E28" s="452"/>
      <c r="F28" s="452"/>
      <c r="G28" s="21">
        <v>20</v>
      </c>
      <c r="H28" s="24" t="s">
        <v>1813</v>
      </c>
      <c r="I28" s="127">
        <f>SUM(I25:I27)</f>
        <v>0</v>
      </c>
      <c r="J28" s="127">
        <f>SUM(J25:J27)</f>
        <v>0</v>
      </c>
    </row>
    <row r="29" spans="1:10" s="2" customFormat="1" ht="15" customHeight="1">
      <c r="A29" s="441" t="s">
        <v>2056</v>
      </c>
      <c r="B29" s="442"/>
      <c r="C29" s="442"/>
      <c r="D29" s="442"/>
      <c r="E29" s="442"/>
      <c r="F29" s="442"/>
      <c r="G29" s="442"/>
      <c r="H29" s="442"/>
      <c r="I29" s="442"/>
      <c r="J29" s="443"/>
    </row>
    <row r="30" spans="1:10" s="2" customFormat="1" ht="13.5" customHeight="1">
      <c r="A30" s="444" t="s">
        <v>228</v>
      </c>
      <c r="B30" s="444"/>
      <c r="C30" s="444"/>
      <c r="D30" s="444"/>
      <c r="E30" s="444"/>
      <c r="F30" s="444"/>
      <c r="G30" s="92">
        <v>21</v>
      </c>
      <c r="H30" s="124" t="s">
        <v>1813</v>
      </c>
      <c r="I30" s="94">
        <v>0</v>
      </c>
      <c r="J30" s="94">
        <v>0</v>
      </c>
    </row>
    <row r="31" spans="1:10" s="2" customFormat="1" ht="13.5" customHeight="1">
      <c r="A31" s="406" t="s">
        <v>229</v>
      </c>
      <c r="B31" s="406"/>
      <c r="C31" s="406"/>
      <c r="D31" s="406"/>
      <c r="E31" s="406"/>
      <c r="F31" s="406"/>
      <c r="G31" s="19">
        <v>22</v>
      </c>
      <c r="H31" s="23" t="s">
        <v>1813</v>
      </c>
      <c r="I31" s="77">
        <v>0</v>
      </c>
      <c r="J31" s="77">
        <v>0</v>
      </c>
    </row>
    <row r="32" spans="1:10" s="2" customFormat="1" ht="13.5" customHeight="1">
      <c r="A32" s="406" t="s">
        <v>230</v>
      </c>
      <c r="B32" s="406"/>
      <c r="C32" s="406"/>
      <c r="D32" s="406"/>
      <c r="E32" s="406"/>
      <c r="F32" s="406"/>
      <c r="G32" s="19">
        <v>23</v>
      </c>
      <c r="H32" s="23" t="s">
        <v>1813</v>
      </c>
      <c r="I32" s="77">
        <v>0</v>
      </c>
      <c r="J32" s="77">
        <v>0</v>
      </c>
    </row>
    <row r="33" spans="1:10" s="2" customFormat="1" ht="13.5" customHeight="1">
      <c r="A33" s="406" t="s">
        <v>231</v>
      </c>
      <c r="B33" s="406"/>
      <c r="C33" s="406"/>
      <c r="D33" s="406"/>
      <c r="E33" s="406"/>
      <c r="F33" s="406"/>
      <c r="G33" s="19">
        <v>24</v>
      </c>
      <c r="H33" s="23" t="s">
        <v>1813</v>
      </c>
      <c r="I33" s="77">
        <v>0</v>
      </c>
      <c r="J33" s="77">
        <v>0</v>
      </c>
    </row>
    <row r="34" spans="1:10" s="2" customFormat="1" ht="13.5" customHeight="1">
      <c r="A34" s="406" t="s">
        <v>232</v>
      </c>
      <c r="B34" s="406"/>
      <c r="C34" s="406"/>
      <c r="D34" s="406"/>
      <c r="E34" s="406"/>
      <c r="F34" s="406"/>
      <c r="G34" s="19">
        <v>25</v>
      </c>
      <c r="H34" s="23" t="s">
        <v>1813</v>
      </c>
      <c r="I34" s="77">
        <v>0</v>
      </c>
      <c r="J34" s="77">
        <v>0</v>
      </c>
    </row>
    <row r="35" spans="1:10" s="2" customFormat="1" ht="13.5" customHeight="1">
      <c r="A35" s="406" t="s">
        <v>2057</v>
      </c>
      <c r="B35" s="406"/>
      <c r="C35" s="406"/>
      <c r="D35" s="406"/>
      <c r="E35" s="406"/>
      <c r="F35" s="406"/>
      <c r="G35" s="19">
        <v>26</v>
      </c>
      <c r="H35" s="23" t="s">
        <v>1813</v>
      </c>
      <c r="I35" s="77">
        <v>0</v>
      </c>
      <c r="J35" s="77">
        <v>0</v>
      </c>
    </row>
    <row r="36" spans="1:10" s="2" customFormat="1" ht="13.5" customHeight="1">
      <c r="A36" s="409" t="s">
        <v>2523</v>
      </c>
      <c r="B36" s="409"/>
      <c r="C36" s="409"/>
      <c r="D36" s="409"/>
      <c r="E36" s="409"/>
      <c r="F36" s="409"/>
      <c r="G36" s="19">
        <v>27</v>
      </c>
      <c r="H36" s="23" t="s">
        <v>1813</v>
      </c>
      <c r="I36" s="86">
        <f>SUM(I30:I35)</f>
        <v>0</v>
      </c>
      <c r="J36" s="86">
        <f>SUM(J30:J35)</f>
        <v>0</v>
      </c>
    </row>
    <row r="37" spans="1:10" s="2" customFormat="1" ht="13.5" customHeight="1">
      <c r="A37" s="406" t="s">
        <v>233</v>
      </c>
      <c r="B37" s="406"/>
      <c r="C37" s="406"/>
      <c r="D37" s="406"/>
      <c r="E37" s="406"/>
      <c r="F37" s="406"/>
      <c r="G37" s="19">
        <v>28</v>
      </c>
      <c r="H37" s="23" t="s">
        <v>1813</v>
      </c>
      <c r="I37" s="77">
        <v>0</v>
      </c>
      <c r="J37" s="77">
        <v>0</v>
      </c>
    </row>
    <row r="38" spans="1:10" s="2" customFormat="1" ht="13.5" customHeight="1">
      <c r="A38" s="406" t="s">
        <v>234</v>
      </c>
      <c r="B38" s="406"/>
      <c r="C38" s="406"/>
      <c r="D38" s="406"/>
      <c r="E38" s="406"/>
      <c r="F38" s="406"/>
      <c r="G38" s="19">
        <v>29</v>
      </c>
      <c r="H38" s="23" t="s">
        <v>1813</v>
      </c>
      <c r="I38" s="77">
        <v>0</v>
      </c>
      <c r="J38" s="77">
        <v>0</v>
      </c>
    </row>
    <row r="39" spans="1:10" s="2" customFormat="1" ht="13.5" customHeight="1">
      <c r="A39" s="406" t="s">
        <v>235</v>
      </c>
      <c r="B39" s="406"/>
      <c r="C39" s="406"/>
      <c r="D39" s="406"/>
      <c r="E39" s="406"/>
      <c r="F39" s="406"/>
      <c r="G39" s="19">
        <v>30</v>
      </c>
      <c r="H39" s="23" t="s">
        <v>1813</v>
      </c>
      <c r="I39" s="77">
        <v>0</v>
      </c>
      <c r="J39" s="77">
        <v>0</v>
      </c>
    </row>
    <row r="40" spans="1:10" s="2" customFormat="1" ht="13.5" customHeight="1">
      <c r="A40" s="406" t="s">
        <v>236</v>
      </c>
      <c r="B40" s="406"/>
      <c r="C40" s="406"/>
      <c r="D40" s="406"/>
      <c r="E40" s="406"/>
      <c r="F40" s="406"/>
      <c r="G40" s="19">
        <v>31</v>
      </c>
      <c r="H40" s="23" t="s">
        <v>1813</v>
      </c>
      <c r="I40" s="77">
        <v>0</v>
      </c>
      <c r="J40" s="77">
        <v>0</v>
      </c>
    </row>
    <row r="41" spans="1:10" s="2" customFormat="1" ht="13.5" customHeight="1">
      <c r="A41" s="406" t="s">
        <v>2058</v>
      </c>
      <c r="B41" s="406"/>
      <c r="C41" s="406"/>
      <c r="D41" s="406"/>
      <c r="E41" s="406"/>
      <c r="F41" s="406"/>
      <c r="G41" s="19">
        <v>32</v>
      </c>
      <c r="H41" s="23" t="s">
        <v>1813</v>
      </c>
      <c r="I41" s="77">
        <v>0</v>
      </c>
      <c r="J41" s="77">
        <v>0</v>
      </c>
    </row>
    <row r="42" spans="1:10" s="2" customFormat="1" ht="13.5" customHeight="1">
      <c r="A42" s="409" t="s">
        <v>2426</v>
      </c>
      <c r="B42" s="409"/>
      <c r="C42" s="409"/>
      <c r="D42" s="409"/>
      <c r="E42" s="409"/>
      <c r="F42" s="409"/>
      <c r="G42" s="19">
        <v>33</v>
      </c>
      <c r="H42" s="23" t="s">
        <v>1813</v>
      </c>
      <c r="I42" s="86">
        <f>SUM(I37:I41)</f>
        <v>0</v>
      </c>
      <c r="J42" s="86">
        <f>SUM(J37:J41)</f>
        <v>0</v>
      </c>
    </row>
    <row r="43" spans="1:10" s="2" customFormat="1" ht="13.5" customHeight="1">
      <c r="A43" s="452" t="s">
        <v>2511</v>
      </c>
      <c r="B43" s="452"/>
      <c r="C43" s="452"/>
      <c r="D43" s="452"/>
      <c r="E43" s="452"/>
      <c r="F43" s="452"/>
      <c r="G43" s="21">
        <v>34</v>
      </c>
      <c r="H43" s="24" t="s">
        <v>1813</v>
      </c>
      <c r="I43" s="87">
        <f>I36+I42</f>
        <v>0</v>
      </c>
      <c r="J43" s="87">
        <f>J36+J42</f>
        <v>0</v>
      </c>
    </row>
    <row r="44" spans="1:10" s="2" customFormat="1" ht="15" customHeight="1">
      <c r="A44" s="441" t="s">
        <v>2427</v>
      </c>
      <c r="B44" s="442"/>
      <c r="C44" s="442"/>
      <c r="D44" s="442"/>
      <c r="E44" s="442"/>
      <c r="F44" s="442"/>
      <c r="G44" s="442"/>
      <c r="H44" s="442"/>
      <c r="I44" s="442"/>
      <c r="J44" s="443"/>
    </row>
    <row r="45" spans="1:10" s="2" customFormat="1" ht="13.5" customHeight="1">
      <c r="A45" s="444" t="s">
        <v>2430</v>
      </c>
      <c r="B45" s="444"/>
      <c r="C45" s="444"/>
      <c r="D45" s="444"/>
      <c r="E45" s="444"/>
      <c r="F45" s="444"/>
      <c r="G45" s="92">
        <v>35</v>
      </c>
      <c r="H45" s="124" t="s">
        <v>1813</v>
      </c>
      <c r="I45" s="94">
        <v>0</v>
      </c>
      <c r="J45" s="94">
        <v>0</v>
      </c>
    </row>
    <row r="46" spans="1:10" s="2" customFormat="1" ht="13.5" customHeight="1">
      <c r="A46" s="406" t="s">
        <v>2431</v>
      </c>
      <c r="B46" s="406"/>
      <c r="C46" s="406"/>
      <c r="D46" s="406"/>
      <c r="E46" s="406"/>
      <c r="F46" s="406"/>
      <c r="G46" s="19">
        <v>36</v>
      </c>
      <c r="H46" s="23" t="s">
        <v>1813</v>
      </c>
      <c r="I46" s="77">
        <v>0</v>
      </c>
      <c r="J46" s="77">
        <v>0</v>
      </c>
    </row>
    <row r="47" spans="1:10" s="2" customFormat="1" ht="13.5" customHeight="1">
      <c r="A47" s="406" t="s">
        <v>2432</v>
      </c>
      <c r="B47" s="406"/>
      <c r="C47" s="406"/>
      <c r="D47" s="406"/>
      <c r="E47" s="406"/>
      <c r="F47" s="406"/>
      <c r="G47" s="19">
        <v>37</v>
      </c>
      <c r="H47" s="23" t="s">
        <v>1813</v>
      </c>
      <c r="I47" s="77">
        <v>0</v>
      </c>
      <c r="J47" s="77">
        <v>0</v>
      </c>
    </row>
    <row r="48" spans="1:10" s="2" customFormat="1" ht="13.5" customHeight="1">
      <c r="A48" s="406" t="s">
        <v>2433</v>
      </c>
      <c r="B48" s="406"/>
      <c r="C48" s="406"/>
      <c r="D48" s="406"/>
      <c r="E48" s="406"/>
      <c r="F48" s="406"/>
      <c r="G48" s="19">
        <v>38</v>
      </c>
      <c r="H48" s="23" t="s">
        <v>1813</v>
      </c>
      <c r="I48" s="77">
        <v>0</v>
      </c>
      <c r="J48" s="77">
        <v>0</v>
      </c>
    </row>
    <row r="49" spans="1:10" s="2" customFormat="1" ht="13.5" customHeight="1">
      <c r="A49" s="409" t="s">
        <v>2522</v>
      </c>
      <c r="B49" s="409"/>
      <c r="C49" s="409"/>
      <c r="D49" s="409"/>
      <c r="E49" s="409"/>
      <c r="F49" s="409"/>
      <c r="G49" s="19">
        <v>39</v>
      </c>
      <c r="H49" s="23" t="s">
        <v>1813</v>
      </c>
      <c r="I49" s="86">
        <f>SUM(I45:I48)</f>
        <v>0</v>
      </c>
      <c r="J49" s="86">
        <f>SUM(J45:J48)</f>
        <v>0</v>
      </c>
    </row>
    <row r="50" spans="1:10" s="2" customFormat="1" ht="24.75" customHeight="1">
      <c r="A50" s="406" t="s">
        <v>1736</v>
      </c>
      <c r="B50" s="406"/>
      <c r="C50" s="406"/>
      <c r="D50" s="406"/>
      <c r="E50" s="406"/>
      <c r="F50" s="406"/>
      <c r="G50" s="19">
        <v>40</v>
      </c>
      <c r="H50" s="23" t="s">
        <v>1813</v>
      </c>
      <c r="I50" s="77">
        <v>0</v>
      </c>
      <c r="J50" s="77">
        <v>0</v>
      </c>
    </row>
    <row r="51" spans="1:10" s="2" customFormat="1" ht="13.5" customHeight="1">
      <c r="A51" s="406" t="s">
        <v>1921</v>
      </c>
      <c r="B51" s="406"/>
      <c r="C51" s="406"/>
      <c r="D51" s="406"/>
      <c r="E51" s="406"/>
      <c r="F51" s="406"/>
      <c r="G51" s="19">
        <v>41</v>
      </c>
      <c r="H51" s="23" t="s">
        <v>1813</v>
      </c>
      <c r="I51" s="77">
        <v>0</v>
      </c>
      <c r="J51" s="77">
        <v>0</v>
      </c>
    </row>
    <row r="52" spans="1:10" s="2" customFormat="1" ht="13.5" customHeight="1">
      <c r="A52" s="406" t="s">
        <v>1922</v>
      </c>
      <c r="B52" s="406"/>
      <c r="C52" s="406"/>
      <c r="D52" s="406"/>
      <c r="E52" s="406"/>
      <c r="F52" s="406"/>
      <c r="G52" s="19">
        <v>42</v>
      </c>
      <c r="H52" s="23" t="s">
        <v>1813</v>
      </c>
      <c r="I52" s="77">
        <v>0</v>
      </c>
      <c r="J52" s="77">
        <v>0</v>
      </c>
    </row>
    <row r="53" spans="1:10" s="2" customFormat="1" ht="13.5" customHeight="1">
      <c r="A53" s="406" t="s">
        <v>1737</v>
      </c>
      <c r="B53" s="406"/>
      <c r="C53" s="406"/>
      <c r="D53" s="406"/>
      <c r="E53" s="406"/>
      <c r="F53" s="406"/>
      <c r="G53" s="19">
        <v>43</v>
      </c>
      <c r="H53" s="23" t="s">
        <v>1813</v>
      </c>
      <c r="I53" s="77">
        <v>0</v>
      </c>
      <c r="J53" s="77">
        <v>0</v>
      </c>
    </row>
    <row r="54" spans="1:10" s="2" customFormat="1" ht="13.5" customHeight="1">
      <c r="A54" s="406" t="s">
        <v>2912</v>
      </c>
      <c r="B54" s="406"/>
      <c r="C54" s="406"/>
      <c r="D54" s="406"/>
      <c r="E54" s="406"/>
      <c r="F54" s="406"/>
      <c r="G54" s="19">
        <v>44</v>
      </c>
      <c r="H54" s="23" t="s">
        <v>1813</v>
      </c>
      <c r="I54" s="77">
        <v>0</v>
      </c>
      <c r="J54" s="77">
        <v>0</v>
      </c>
    </row>
    <row r="55" spans="1:10" s="2" customFormat="1" ht="13.5" customHeight="1">
      <c r="A55" s="409" t="s">
        <v>2913</v>
      </c>
      <c r="B55" s="409"/>
      <c r="C55" s="409"/>
      <c r="D55" s="409"/>
      <c r="E55" s="409"/>
      <c r="F55" s="409"/>
      <c r="G55" s="19">
        <v>45</v>
      </c>
      <c r="H55" s="23" t="s">
        <v>1813</v>
      </c>
      <c r="I55" s="86">
        <f>SUM(I50:I54)</f>
        <v>0</v>
      </c>
      <c r="J55" s="86">
        <f>SUM(J50:J54)</f>
        <v>0</v>
      </c>
    </row>
    <row r="56" spans="1:10" s="2" customFormat="1" ht="13.5" customHeight="1">
      <c r="A56" s="408" t="s">
        <v>9</v>
      </c>
      <c r="B56" s="408"/>
      <c r="C56" s="408"/>
      <c r="D56" s="408"/>
      <c r="E56" s="408"/>
      <c r="F56" s="408"/>
      <c r="G56" s="19">
        <v>46</v>
      </c>
      <c r="H56" s="23" t="s">
        <v>1813</v>
      </c>
      <c r="I56" s="86">
        <f>I49+I55</f>
        <v>0</v>
      </c>
      <c r="J56" s="86">
        <f>J49+J55</f>
        <v>0</v>
      </c>
    </row>
    <row r="57" spans="1:10" s="2" customFormat="1" ht="13.5" customHeight="1">
      <c r="A57" s="386" t="s">
        <v>2428</v>
      </c>
      <c r="B57" s="386"/>
      <c r="C57" s="386"/>
      <c r="D57" s="386"/>
      <c r="E57" s="386"/>
      <c r="F57" s="386"/>
      <c r="G57" s="19">
        <v>47</v>
      </c>
      <c r="H57" s="23" t="s">
        <v>1813</v>
      </c>
      <c r="I57" s="77">
        <v>0</v>
      </c>
      <c r="J57" s="77">
        <v>0</v>
      </c>
    </row>
    <row r="58" spans="1:10" s="2" customFormat="1" ht="13.5" customHeight="1">
      <c r="A58" s="408" t="s">
        <v>1735</v>
      </c>
      <c r="B58" s="408"/>
      <c r="C58" s="408"/>
      <c r="D58" s="408"/>
      <c r="E58" s="408"/>
      <c r="F58" s="408"/>
      <c r="G58" s="19">
        <v>48</v>
      </c>
      <c r="H58" s="23" t="s">
        <v>1813</v>
      </c>
      <c r="I58" s="86">
        <f>I28+I43+I56+I57</f>
        <v>0</v>
      </c>
      <c r="J58" s="86">
        <f>J28+J43+J56+J57</f>
        <v>0</v>
      </c>
    </row>
    <row r="59" spans="1:10" s="2" customFormat="1" ht="13.5" customHeight="1">
      <c r="A59" s="408" t="s">
        <v>2429</v>
      </c>
      <c r="B59" s="408"/>
      <c r="C59" s="408"/>
      <c r="D59" s="408"/>
      <c r="E59" s="408"/>
      <c r="F59" s="408"/>
      <c r="G59" s="19">
        <v>49</v>
      </c>
      <c r="H59" s="23" t="s">
        <v>1813</v>
      </c>
      <c r="I59" s="77">
        <v>0</v>
      </c>
      <c r="J59" s="77">
        <v>0</v>
      </c>
    </row>
    <row r="60" spans="1:18" s="2" customFormat="1" ht="13.5" customHeight="1">
      <c r="A60" s="452" t="s">
        <v>1734</v>
      </c>
      <c r="B60" s="452"/>
      <c r="C60" s="452"/>
      <c r="D60" s="452"/>
      <c r="E60" s="452"/>
      <c r="F60" s="452"/>
      <c r="G60" s="21">
        <v>50</v>
      </c>
      <c r="H60" s="24" t="s">
        <v>1813</v>
      </c>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H53" sqref="H53"/>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421875" style="82" hidden="1" customWidth="1"/>
    <col min="16" max="20" width="9.140625" style="82" hidden="1" customWidth="1"/>
    <col min="21" max="21" width="11.140625" style="82" hidden="1" customWidth="1"/>
    <col min="22" max="23" width="9.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5" t="s">
        <v>1455</v>
      </c>
      <c r="B2" s="436"/>
      <c r="C2" s="436"/>
      <c r="D2" s="436"/>
      <c r="E2" s="436"/>
      <c r="F2" s="436"/>
      <c r="G2" s="436"/>
      <c r="H2" s="436"/>
      <c r="I2" s="437"/>
      <c r="J2" s="391" t="s">
        <v>2595</v>
      </c>
      <c r="Q2" s="74">
        <f>IF(OR(MIN(I8:I52)&lt;0,MAX(I8:I52)&gt;0),1,0)</f>
        <v>0</v>
      </c>
      <c r="R2" s="73" t="s">
        <v>2586</v>
      </c>
    </row>
    <row r="3" spans="1:18" s="2" customFormat="1" ht="19.5" customHeight="1" thickBot="1">
      <c r="A3" s="438" t="str">
        <f>"u razdoblju "&amp;IF(RefStr!C4&lt;&gt;"",TEXT(RefStr!C4,"DD.MM.YYYY."),"__.__.____.")&amp;" do "&amp;IF(RefStr!F4&lt;&gt;"",TEXT(RefStr!F4,"DD.MM.YYYY."),"__.__.____.")</f>
        <v>u razdoblju 01.01.2019. do 31.12.2019.</v>
      </c>
      <c r="B3" s="439"/>
      <c r="C3" s="439"/>
      <c r="D3" s="439"/>
      <c r="E3" s="439"/>
      <c r="F3" s="439"/>
      <c r="G3" s="439"/>
      <c r="H3" s="439"/>
      <c r="I3" s="440"/>
      <c r="J3" s="425"/>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9" t="str">
        <f>"Obveznik: "&amp;IF(RefStr!C27&lt;&gt;"",RefStr!C27,"________")&amp;"; "&amp;IF(RefStr!C29&lt;&gt;"",RefStr!C29,"________________________________________________________"&amp;"; "&amp;IF(RefStr!F31&lt;&gt;"",RefStr!F31,"_______________"))</f>
        <v>Obveznik: 07538718933; ISTRA d.d.</v>
      </c>
      <c r="B5" s="400"/>
      <c r="C5" s="400"/>
      <c r="D5" s="400"/>
      <c r="E5" s="400"/>
      <c r="F5" s="400"/>
      <c r="G5" s="400"/>
      <c r="H5" s="400"/>
      <c r="I5" s="400"/>
      <c r="J5" s="401"/>
    </row>
    <row r="6" spans="1:10" s="2" customFormat="1" ht="24.75" customHeight="1" thickBot="1">
      <c r="A6" s="453" t="s">
        <v>719</v>
      </c>
      <c r="B6" s="454"/>
      <c r="C6" s="454"/>
      <c r="D6" s="454"/>
      <c r="E6" s="454"/>
      <c r="F6" s="454"/>
      <c r="G6" s="98" t="s">
        <v>799</v>
      </c>
      <c r="H6" s="102" t="s">
        <v>1968</v>
      </c>
      <c r="I6" s="98" t="s">
        <v>459</v>
      </c>
      <c r="J6" s="99" t="s">
        <v>460</v>
      </c>
    </row>
    <row r="7" spans="1:10" s="2" customFormat="1" ht="13.5" customHeight="1">
      <c r="A7" s="455">
        <v>1</v>
      </c>
      <c r="B7" s="456"/>
      <c r="C7" s="456"/>
      <c r="D7" s="456"/>
      <c r="E7" s="456"/>
      <c r="F7" s="456"/>
      <c r="G7" s="117">
        <v>2</v>
      </c>
      <c r="H7" s="118">
        <v>3</v>
      </c>
      <c r="I7" s="119">
        <v>4</v>
      </c>
      <c r="J7" s="120">
        <v>5</v>
      </c>
    </row>
    <row r="8" spans="1:10" s="2" customFormat="1" ht="15" customHeight="1">
      <c r="A8" s="441" t="s">
        <v>7</v>
      </c>
      <c r="B8" s="442"/>
      <c r="C8" s="442"/>
      <c r="D8" s="442"/>
      <c r="E8" s="442"/>
      <c r="F8" s="442"/>
      <c r="G8" s="442"/>
      <c r="H8" s="442"/>
      <c r="I8" s="442"/>
      <c r="J8" s="443"/>
    </row>
    <row r="9" spans="1:10" s="2" customFormat="1" ht="13.5" customHeight="1">
      <c r="A9" s="444" t="s">
        <v>2527</v>
      </c>
      <c r="B9" s="444"/>
      <c r="C9" s="444"/>
      <c r="D9" s="444"/>
      <c r="E9" s="444"/>
      <c r="F9" s="444"/>
      <c r="G9" s="92">
        <v>1</v>
      </c>
      <c r="H9" s="124" t="s">
        <v>1813</v>
      </c>
      <c r="I9" s="94">
        <v>0</v>
      </c>
      <c r="J9" s="94">
        <v>0</v>
      </c>
    </row>
    <row r="10" spans="1:10" s="2" customFormat="1" ht="13.5" customHeight="1">
      <c r="A10" s="406" t="s">
        <v>2528</v>
      </c>
      <c r="B10" s="406"/>
      <c r="C10" s="406"/>
      <c r="D10" s="406"/>
      <c r="E10" s="406"/>
      <c r="F10" s="406"/>
      <c r="G10" s="19">
        <v>2</v>
      </c>
      <c r="H10" s="23" t="s">
        <v>1813</v>
      </c>
      <c r="I10" s="77">
        <v>0</v>
      </c>
      <c r="J10" s="77">
        <v>0</v>
      </c>
    </row>
    <row r="11" spans="1:10" s="2" customFormat="1" ht="13.5" customHeight="1">
      <c r="A11" s="406" t="s">
        <v>2529</v>
      </c>
      <c r="B11" s="406"/>
      <c r="C11" s="406"/>
      <c r="D11" s="406"/>
      <c r="E11" s="406"/>
      <c r="F11" s="406"/>
      <c r="G11" s="19">
        <v>3</v>
      </c>
      <c r="H11" s="23" t="s">
        <v>1813</v>
      </c>
      <c r="I11" s="77">
        <v>0</v>
      </c>
      <c r="J11" s="77">
        <v>0</v>
      </c>
    </row>
    <row r="12" spans="1:10" s="2" customFormat="1" ht="13.5" customHeight="1">
      <c r="A12" s="406" t="s">
        <v>2530</v>
      </c>
      <c r="B12" s="406"/>
      <c r="C12" s="406"/>
      <c r="D12" s="406"/>
      <c r="E12" s="406"/>
      <c r="F12" s="406"/>
      <c r="G12" s="19">
        <v>4</v>
      </c>
      <c r="H12" s="23" t="s">
        <v>1813</v>
      </c>
      <c r="I12" s="77">
        <v>0</v>
      </c>
      <c r="J12" s="77">
        <v>0</v>
      </c>
    </row>
    <row r="13" spans="1:10" s="2" customFormat="1" ht="13.5" customHeight="1">
      <c r="A13" s="406" t="s">
        <v>1419</v>
      </c>
      <c r="B13" s="406"/>
      <c r="C13" s="406"/>
      <c r="D13" s="406"/>
      <c r="E13" s="406"/>
      <c r="F13" s="406"/>
      <c r="G13" s="19">
        <v>5</v>
      </c>
      <c r="H13" s="23" t="s">
        <v>1813</v>
      </c>
      <c r="I13" s="77">
        <v>0</v>
      </c>
      <c r="J13" s="77">
        <v>0</v>
      </c>
    </row>
    <row r="14" spans="1:10" s="2" customFormat="1" ht="13.5" customHeight="1">
      <c r="A14" s="406" t="s">
        <v>1420</v>
      </c>
      <c r="B14" s="406"/>
      <c r="C14" s="406"/>
      <c r="D14" s="406"/>
      <c r="E14" s="406"/>
      <c r="F14" s="406"/>
      <c r="G14" s="19">
        <v>6</v>
      </c>
      <c r="H14" s="23" t="s">
        <v>1813</v>
      </c>
      <c r="I14" s="77">
        <v>0</v>
      </c>
      <c r="J14" s="77">
        <v>0</v>
      </c>
    </row>
    <row r="15" spans="1:10" s="2" customFormat="1" ht="13.5" customHeight="1">
      <c r="A15" s="406" t="s">
        <v>1421</v>
      </c>
      <c r="B15" s="406"/>
      <c r="C15" s="406"/>
      <c r="D15" s="406"/>
      <c r="E15" s="406"/>
      <c r="F15" s="406"/>
      <c r="G15" s="19">
        <v>7</v>
      </c>
      <c r="H15" s="23" t="s">
        <v>1813</v>
      </c>
      <c r="I15" s="77">
        <v>0</v>
      </c>
      <c r="J15" s="77">
        <v>0</v>
      </c>
    </row>
    <row r="16" spans="1:10" s="2" customFormat="1" ht="13.5" customHeight="1">
      <c r="A16" s="406" t="s">
        <v>1422</v>
      </c>
      <c r="B16" s="406"/>
      <c r="C16" s="406"/>
      <c r="D16" s="406"/>
      <c r="E16" s="406"/>
      <c r="F16" s="406"/>
      <c r="G16" s="19">
        <v>8</v>
      </c>
      <c r="H16" s="23" t="s">
        <v>1813</v>
      </c>
      <c r="I16" s="77">
        <v>0</v>
      </c>
      <c r="J16" s="77">
        <v>0</v>
      </c>
    </row>
    <row r="17" spans="1:10" s="2" customFormat="1" ht="13.5" customHeight="1">
      <c r="A17" s="409" t="s">
        <v>2525</v>
      </c>
      <c r="B17" s="409"/>
      <c r="C17" s="409"/>
      <c r="D17" s="409"/>
      <c r="E17" s="409"/>
      <c r="F17" s="409"/>
      <c r="G17" s="19">
        <v>9</v>
      </c>
      <c r="H17" s="23" t="s">
        <v>1813</v>
      </c>
      <c r="I17" s="86">
        <f>SUM(I9:I16)</f>
        <v>0</v>
      </c>
      <c r="J17" s="86">
        <f>SUM(J9:J16)</f>
        <v>0</v>
      </c>
    </row>
    <row r="18" spans="1:10" s="2" customFormat="1" ht="13.5" customHeight="1">
      <c r="A18" s="406" t="s">
        <v>1829</v>
      </c>
      <c r="B18" s="406"/>
      <c r="C18" s="406"/>
      <c r="D18" s="406"/>
      <c r="E18" s="406"/>
      <c r="F18" s="406"/>
      <c r="G18" s="19">
        <v>10</v>
      </c>
      <c r="H18" s="23" t="s">
        <v>1813</v>
      </c>
      <c r="I18" s="77">
        <v>0</v>
      </c>
      <c r="J18" s="77">
        <v>0</v>
      </c>
    </row>
    <row r="19" spans="1:10" s="2" customFormat="1" ht="13.5" customHeight="1">
      <c r="A19" s="406" t="s">
        <v>2526</v>
      </c>
      <c r="B19" s="406"/>
      <c r="C19" s="406"/>
      <c r="D19" s="406"/>
      <c r="E19" s="406"/>
      <c r="F19" s="406"/>
      <c r="G19" s="19">
        <v>11</v>
      </c>
      <c r="H19" s="23" t="s">
        <v>1813</v>
      </c>
      <c r="I19" s="77">
        <v>0</v>
      </c>
      <c r="J19" s="77">
        <v>0</v>
      </c>
    </row>
    <row r="20" spans="1:10" s="2" customFormat="1" ht="15" customHeight="1">
      <c r="A20" s="452" t="s">
        <v>10</v>
      </c>
      <c r="B20" s="452"/>
      <c r="C20" s="452"/>
      <c r="D20" s="452"/>
      <c r="E20" s="452"/>
      <c r="F20" s="452"/>
      <c r="G20" s="21">
        <v>12</v>
      </c>
      <c r="H20" s="24" t="s">
        <v>1813</v>
      </c>
      <c r="I20" s="87">
        <f>SUM(I17:I19)</f>
        <v>0</v>
      </c>
      <c r="J20" s="87">
        <f>SUM(J17:J19)</f>
        <v>0</v>
      </c>
    </row>
    <row r="21" spans="1:10" s="2" customFormat="1" ht="13.5" customHeight="1">
      <c r="A21" s="441" t="s">
        <v>2056</v>
      </c>
      <c r="B21" s="442"/>
      <c r="C21" s="442"/>
      <c r="D21" s="442"/>
      <c r="E21" s="442"/>
      <c r="F21" s="442"/>
      <c r="G21" s="442"/>
      <c r="H21" s="442"/>
      <c r="I21" s="442"/>
      <c r="J21" s="443"/>
    </row>
    <row r="22" spans="1:10" s="2" customFormat="1" ht="15" customHeight="1">
      <c r="A22" s="444" t="s">
        <v>1830</v>
      </c>
      <c r="B22" s="444"/>
      <c r="C22" s="444"/>
      <c r="D22" s="444"/>
      <c r="E22" s="444"/>
      <c r="F22" s="444"/>
      <c r="G22" s="92">
        <v>13</v>
      </c>
      <c r="H22" s="124" t="s">
        <v>1813</v>
      </c>
      <c r="I22" s="94">
        <v>0</v>
      </c>
      <c r="J22" s="94">
        <v>0</v>
      </c>
    </row>
    <row r="23" spans="1:10" s="2" customFormat="1" ht="13.5" customHeight="1">
      <c r="A23" s="406" t="s">
        <v>1831</v>
      </c>
      <c r="B23" s="406"/>
      <c r="C23" s="406"/>
      <c r="D23" s="406"/>
      <c r="E23" s="406"/>
      <c r="F23" s="406"/>
      <c r="G23" s="19">
        <v>14</v>
      </c>
      <c r="H23" s="23" t="s">
        <v>1813</v>
      </c>
      <c r="I23" s="77">
        <v>0</v>
      </c>
      <c r="J23" s="77">
        <v>0</v>
      </c>
    </row>
    <row r="24" spans="1:10" s="2" customFormat="1" ht="13.5" customHeight="1">
      <c r="A24" s="406" t="s">
        <v>1832</v>
      </c>
      <c r="B24" s="406"/>
      <c r="C24" s="406"/>
      <c r="D24" s="406"/>
      <c r="E24" s="406"/>
      <c r="F24" s="406"/>
      <c r="G24" s="19">
        <v>15</v>
      </c>
      <c r="H24" s="23" t="s">
        <v>1813</v>
      </c>
      <c r="I24" s="77">
        <v>0</v>
      </c>
      <c r="J24" s="77">
        <v>0</v>
      </c>
    </row>
    <row r="25" spans="1:10" s="2" customFormat="1" ht="13.5" customHeight="1">
      <c r="A25" s="406" t="s">
        <v>225</v>
      </c>
      <c r="B25" s="406"/>
      <c r="C25" s="406"/>
      <c r="D25" s="406"/>
      <c r="E25" s="406"/>
      <c r="F25" s="406"/>
      <c r="G25" s="19">
        <v>16</v>
      </c>
      <c r="H25" s="23" t="s">
        <v>1813</v>
      </c>
      <c r="I25" s="77">
        <v>0</v>
      </c>
      <c r="J25" s="77">
        <v>0</v>
      </c>
    </row>
    <row r="26" spans="1:10" s="2" customFormat="1" ht="13.5" customHeight="1">
      <c r="A26" s="406" t="s">
        <v>441</v>
      </c>
      <c r="B26" s="406"/>
      <c r="C26" s="406"/>
      <c r="D26" s="406"/>
      <c r="E26" s="406"/>
      <c r="F26" s="406"/>
      <c r="G26" s="19">
        <v>17</v>
      </c>
      <c r="H26" s="23" t="s">
        <v>1813</v>
      </c>
      <c r="I26" s="77">
        <v>0</v>
      </c>
      <c r="J26" s="77">
        <v>0</v>
      </c>
    </row>
    <row r="27" spans="1:10" s="2" customFormat="1" ht="13.5" customHeight="1">
      <c r="A27" s="406" t="s">
        <v>224</v>
      </c>
      <c r="B27" s="406"/>
      <c r="C27" s="406"/>
      <c r="D27" s="406"/>
      <c r="E27" s="406"/>
      <c r="F27" s="406"/>
      <c r="G27" s="19">
        <v>18</v>
      </c>
      <c r="H27" s="23" t="s">
        <v>1813</v>
      </c>
      <c r="I27" s="77">
        <v>0</v>
      </c>
      <c r="J27" s="77">
        <v>0</v>
      </c>
    </row>
    <row r="28" spans="1:10" s="2" customFormat="1" ht="15" customHeight="1">
      <c r="A28" s="409" t="s">
        <v>2118</v>
      </c>
      <c r="B28" s="409"/>
      <c r="C28" s="409"/>
      <c r="D28" s="409"/>
      <c r="E28" s="409"/>
      <c r="F28" s="409"/>
      <c r="G28" s="19">
        <v>19</v>
      </c>
      <c r="H28" s="23" t="s">
        <v>1813</v>
      </c>
      <c r="I28" s="86">
        <f>SUM(I22:I27)</f>
        <v>0</v>
      </c>
      <c r="J28" s="86">
        <f>SUM(J22:J27)</f>
        <v>0</v>
      </c>
    </row>
    <row r="29" spans="1:10" s="2" customFormat="1" ht="15" customHeight="1">
      <c r="A29" s="406" t="s">
        <v>442</v>
      </c>
      <c r="B29" s="406"/>
      <c r="C29" s="406"/>
      <c r="D29" s="406"/>
      <c r="E29" s="406"/>
      <c r="F29" s="406"/>
      <c r="G29" s="19">
        <v>20</v>
      </c>
      <c r="H29" s="23" t="s">
        <v>1813</v>
      </c>
      <c r="I29" s="77">
        <v>0</v>
      </c>
      <c r="J29" s="77">
        <v>0</v>
      </c>
    </row>
    <row r="30" spans="1:10" s="2" customFormat="1" ht="13.5" customHeight="1">
      <c r="A30" s="406" t="s">
        <v>443</v>
      </c>
      <c r="B30" s="406"/>
      <c r="C30" s="406"/>
      <c r="D30" s="406"/>
      <c r="E30" s="406"/>
      <c r="F30" s="406"/>
      <c r="G30" s="19">
        <v>21</v>
      </c>
      <c r="H30" s="23" t="s">
        <v>1813</v>
      </c>
      <c r="I30" s="77">
        <v>0</v>
      </c>
      <c r="J30" s="77">
        <v>0</v>
      </c>
    </row>
    <row r="31" spans="1:10" s="2" customFormat="1" ht="13.5" customHeight="1">
      <c r="A31" s="406" t="s">
        <v>444</v>
      </c>
      <c r="B31" s="406"/>
      <c r="C31" s="406"/>
      <c r="D31" s="406"/>
      <c r="E31" s="406"/>
      <c r="F31" s="406"/>
      <c r="G31" s="19">
        <v>22</v>
      </c>
      <c r="H31" s="23" t="s">
        <v>1813</v>
      </c>
      <c r="I31" s="77">
        <v>0</v>
      </c>
      <c r="J31" s="77">
        <v>0</v>
      </c>
    </row>
    <row r="32" spans="1:10" s="2" customFormat="1" ht="13.5" customHeight="1">
      <c r="A32" s="406" t="s">
        <v>445</v>
      </c>
      <c r="B32" s="406"/>
      <c r="C32" s="406"/>
      <c r="D32" s="406"/>
      <c r="E32" s="406"/>
      <c r="F32" s="406"/>
      <c r="G32" s="19">
        <v>23</v>
      </c>
      <c r="H32" s="23" t="s">
        <v>1813</v>
      </c>
      <c r="I32" s="77">
        <v>0</v>
      </c>
      <c r="J32" s="77">
        <v>0</v>
      </c>
    </row>
    <row r="33" spans="1:10" s="2" customFormat="1" ht="13.5" customHeight="1">
      <c r="A33" s="406" t="s">
        <v>446</v>
      </c>
      <c r="B33" s="406"/>
      <c r="C33" s="406"/>
      <c r="D33" s="406"/>
      <c r="E33" s="406"/>
      <c r="F33" s="406"/>
      <c r="G33" s="19">
        <v>24</v>
      </c>
      <c r="H33" s="23" t="s">
        <v>1813</v>
      </c>
      <c r="I33" s="77">
        <v>0</v>
      </c>
      <c r="J33" s="77">
        <v>0</v>
      </c>
    </row>
    <row r="34" spans="1:10" s="2" customFormat="1" ht="15" customHeight="1">
      <c r="A34" s="409" t="s">
        <v>2119</v>
      </c>
      <c r="B34" s="409"/>
      <c r="C34" s="409"/>
      <c r="D34" s="409"/>
      <c r="E34" s="409"/>
      <c r="F34" s="409"/>
      <c r="G34" s="19">
        <v>25</v>
      </c>
      <c r="H34" s="23" t="s">
        <v>1813</v>
      </c>
      <c r="I34" s="86">
        <f>SUM(I29:I33)</f>
        <v>0</v>
      </c>
      <c r="J34" s="86">
        <f>SUM(J29:J33)</f>
        <v>0</v>
      </c>
    </row>
    <row r="35" spans="1:10" s="2" customFormat="1" ht="15" customHeight="1">
      <c r="A35" s="452" t="s">
        <v>11</v>
      </c>
      <c r="B35" s="452"/>
      <c r="C35" s="452"/>
      <c r="D35" s="452"/>
      <c r="E35" s="452"/>
      <c r="F35" s="452"/>
      <c r="G35" s="21">
        <v>26</v>
      </c>
      <c r="H35" s="24" t="s">
        <v>1813</v>
      </c>
      <c r="I35" s="87">
        <f>I28+I34</f>
        <v>0</v>
      </c>
      <c r="J35" s="87">
        <f>J28+J34</f>
        <v>0</v>
      </c>
    </row>
    <row r="36" spans="1:10" s="2" customFormat="1" ht="13.5" customHeight="1">
      <c r="A36" s="441" t="s">
        <v>2427</v>
      </c>
      <c r="B36" s="442"/>
      <c r="C36" s="442"/>
      <c r="D36" s="442"/>
      <c r="E36" s="442"/>
      <c r="F36" s="442"/>
      <c r="G36" s="442">
        <v>0</v>
      </c>
      <c r="H36" s="442"/>
      <c r="I36" s="442"/>
      <c r="J36" s="443"/>
    </row>
    <row r="37" spans="1:10" s="2" customFormat="1" ht="13.5" customHeight="1">
      <c r="A37" s="459" t="s">
        <v>447</v>
      </c>
      <c r="B37" s="459"/>
      <c r="C37" s="459"/>
      <c r="D37" s="459"/>
      <c r="E37" s="459"/>
      <c r="F37" s="459"/>
      <c r="G37" s="92">
        <v>27</v>
      </c>
      <c r="H37" s="124" t="s">
        <v>1813</v>
      </c>
      <c r="I37" s="94">
        <v>0</v>
      </c>
      <c r="J37" s="94">
        <v>0</v>
      </c>
    </row>
    <row r="38" spans="1:10" s="2" customFormat="1" ht="24.75" customHeight="1">
      <c r="A38" s="386" t="s">
        <v>448</v>
      </c>
      <c r="B38" s="386"/>
      <c r="C38" s="386"/>
      <c r="D38" s="386"/>
      <c r="E38" s="386"/>
      <c r="F38" s="386"/>
      <c r="G38" s="19">
        <v>28</v>
      </c>
      <c r="H38" s="23" t="s">
        <v>1813</v>
      </c>
      <c r="I38" s="77">
        <v>0</v>
      </c>
      <c r="J38" s="77">
        <v>0</v>
      </c>
    </row>
    <row r="39" spans="1:10" s="2" customFormat="1" ht="13.5" customHeight="1">
      <c r="A39" s="386" t="s">
        <v>449</v>
      </c>
      <c r="B39" s="386"/>
      <c r="C39" s="386"/>
      <c r="D39" s="386"/>
      <c r="E39" s="386"/>
      <c r="F39" s="386"/>
      <c r="G39" s="19">
        <v>29</v>
      </c>
      <c r="H39" s="23" t="s">
        <v>1813</v>
      </c>
      <c r="I39" s="77">
        <v>0</v>
      </c>
      <c r="J39" s="77">
        <v>0</v>
      </c>
    </row>
    <row r="40" spans="1:10" s="2" customFormat="1" ht="13.5" customHeight="1">
      <c r="A40" s="386" t="s">
        <v>450</v>
      </c>
      <c r="B40" s="386"/>
      <c r="C40" s="386"/>
      <c r="D40" s="386"/>
      <c r="E40" s="386"/>
      <c r="F40" s="386"/>
      <c r="G40" s="19">
        <v>30</v>
      </c>
      <c r="H40" s="23" t="s">
        <v>1813</v>
      </c>
      <c r="I40" s="77">
        <v>0</v>
      </c>
      <c r="J40" s="77">
        <v>0</v>
      </c>
    </row>
    <row r="41" spans="1:10" s="2" customFormat="1" ht="15" customHeight="1">
      <c r="A41" s="409" t="s">
        <v>451</v>
      </c>
      <c r="B41" s="409"/>
      <c r="C41" s="409"/>
      <c r="D41" s="409"/>
      <c r="E41" s="409"/>
      <c r="F41" s="409"/>
      <c r="G41" s="19">
        <v>31</v>
      </c>
      <c r="H41" s="23" t="s">
        <v>1813</v>
      </c>
      <c r="I41" s="86">
        <f>SUM(I37:I40)</f>
        <v>0</v>
      </c>
      <c r="J41" s="86">
        <f>SUM(J37:J40)</f>
        <v>0</v>
      </c>
    </row>
    <row r="42" spans="1:10" s="2" customFormat="1" ht="25.5" customHeight="1">
      <c r="A42" s="386" t="s">
        <v>452</v>
      </c>
      <c r="B42" s="386"/>
      <c r="C42" s="386"/>
      <c r="D42" s="386"/>
      <c r="E42" s="386"/>
      <c r="F42" s="386"/>
      <c r="G42" s="19">
        <v>32</v>
      </c>
      <c r="H42" s="23" t="s">
        <v>1813</v>
      </c>
      <c r="I42" s="77">
        <v>0</v>
      </c>
      <c r="J42" s="77">
        <v>0</v>
      </c>
    </row>
    <row r="43" spans="1:10" s="2" customFormat="1" ht="13.5" customHeight="1">
      <c r="A43" s="386" t="s">
        <v>453</v>
      </c>
      <c r="B43" s="386"/>
      <c r="C43" s="386"/>
      <c r="D43" s="386"/>
      <c r="E43" s="386"/>
      <c r="F43" s="386"/>
      <c r="G43" s="19">
        <v>33</v>
      </c>
      <c r="H43" s="23" t="s">
        <v>1813</v>
      </c>
      <c r="I43" s="77">
        <v>0</v>
      </c>
      <c r="J43" s="77">
        <v>0</v>
      </c>
    </row>
    <row r="44" spans="1:10" s="2" customFormat="1" ht="13.5" customHeight="1">
      <c r="A44" s="386" t="s">
        <v>454</v>
      </c>
      <c r="B44" s="386"/>
      <c r="C44" s="386"/>
      <c r="D44" s="386"/>
      <c r="E44" s="386"/>
      <c r="F44" s="386"/>
      <c r="G44" s="19">
        <v>34</v>
      </c>
      <c r="H44" s="23" t="s">
        <v>1813</v>
      </c>
      <c r="I44" s="77">
        <v>0</v>
      </c>
      <c r="J44" s="77">
        <v>0</v>
      </c>
    </row>
    <row r="45" spans="1:10" s="2" customFormat="1" ht="25.5" customHeight="1">
      <c r="A45" s="386" t="s">
        <v>2117</v>
      </c>
      <c r="B45" s="386"/>
      <c r="C45" s="386"/>
      <c r="D45" s="386"/>
      <c r="E45" s="386"/>
      <c r="F45" s="386"/>
      <c r="G45" s="19">
        <v>35</v>
      </c>
      <c r="H45" s="23" t="s">
        <v>1813</v>
      </c>
      <c r="I45" s="77">
        <v>0</v>
      </c>
      <c r="J45" s="77">
        <v>0</v>
      </c>
    </row>
    <row r="46" spans="1:10" s="2" customFormat="1" ht="13.5" customHeight="1">
      <c r="A46" s="386" t="s">
        <v>455</v>
      </c>
      <c r="B46" s="386"/>
      <c r="C46" s="386"/>
      <c r="D46" s="386"/>
      <c r="E46" s="386"/>
      <c r="F46" s="386"/>
      <c r="G46" s="19">
        <v>36</v>
      </c>
      <c r="H46" s="23" t="s">
        <v>1813</v>
      </c>
      <c r="I46" s="77">
        <v>0</v>
      </c>
      <c r="J46" s="77">
        <v>0</v>
      </c>
    </row>
    <row r="47" spans="1:10" s="2" customFormat="1" ht="15" customHeight="1">
      <c r="A47" s="409" t="s">
        <v>1835</v>
      </c>
      <c r="B47" s="409"/>
      <c r="C47" s="409"/>
      <c r="D47" s="409"/>
      <c r="E47" s="409"/>
      <c r="F47" s="409"/>
      <c r="G47" s="19">
        <v>37</v>
      </c>
      <c r="H47" s="23" t="s">
        <v>1813</v>
      </c>
      <c r="I47" s="86">
        <f>SUM(I42:I46)</f>
        <v>0</v>
      </c>
      <c r="J47" s="86">
        <f>SUM(J42:J46)</f>
        <v>0</v>
      </c>
    </row>
    <row r="48" spans="1:10" s="2" customFormat="1" ht="15" customHeight="1">
      <c r="A48" s="408" t="s">
        <v>12</v>
      </c>
      <c r="B48" s="408"/>
      <c r="C48" s="408"/>
      <c r="D48" s="408"/>
      <c r="E48" s="408"/>
      <c r="F48" s="408"/>
      <c r="G48" s="19">
        <v>38</v>
      </c>
      <c r="H48" s="23" t="s">
        <v>1813</v>
      </c>
      <c r="I48" s="86">
        <f>I41+I47</f>
        <v>0</v>
      </c>
      <c r="J48" s="86">
        <f>J41+J47</f>
        <v>0</v>
      </c>
    </row>
    <row r="49" spans="1:10" s="2" customFormat="1" ht="13.5" customHeight="1">
      <c r="A49" s="406" t="s">
        <v>1833</v>
      </c>
      <c r="B49" s="406"/>
      <c r="C49" s="406"/>
      <c r="D49" s="406"/>
      <c r="E49" s="406"/>
      <c r="F49" s="406"/>
      <c r="G49" s="19">
        <v>39</v>
      </c>
      <c r="H49" s="23" t="s">
        <v>1813</v>
      </c>
      <c r="I49" s="77">
        <v>0</v>
      </c>
      <c r="J49" s="77">
        <v>0</v>
      </c>
    </row>
    <row r="50" spans="1:10" s="2" customFormat="1" ht="25.5" customHeight="1">
      <c r="A50" s="408" t="s">
        <v>1834</v>
      </c>
      <c r="B50" s="408"/>
      <c r="C50" s="408"/>
      <c r="D50" s="408"/>
      <c r="E50" s="408"/>
      <c r="F50" s="408"/>
      <c r="G50" s="19">
        <v>40</v>
      </c>
      <c r="H50" s="23" t="s">
        <v>1813</v>
      </c>
      <c r="I50" s="86">
        <f>I20+I35+I48+I49</f>
        <v>0</v>
      </c>
      <c r="J50" s="86">
        <f>J20+J35+J48+J49</f>
        <v>0</v>
      </c>
    </row>
    <row r="51" spans="1:10" s="2" customFormat="1" ht="13.5" customHeight="1">
      <c r="A51" s="408" t="s">
        <v>2429</v>
      </c>
      <c r="B51" s="408"/>
      <c r="C51" s="408"/>
      <c r="D51" s="408"/>
      <c r="E51" s="408"/>
      <c r="F51" s="408"/>
      <c r="G51" s="19">
        <v>41</v>
      </c>
      <c r="H51" s="23" t="s">
        <v>1813</v>
      </c>
      <c r="I51" s="77">
        <v>0</v>
      </c>
      <c r="J51" s="77">
        <v>0</v>
      </c>
    </row>
    <row r="52" spans="1:10" s="2" customFormat="1" ht="13.5" customHeight="1">
      <c r="A52" s="452" t="s">
        <v>13</v>
      </c>
      <c r="B52" s="452"/>
      <c r="C52" s="452"/>
      <c r="D52" s="452"/>
      <c r="E52" s="452"/>
      <c r="F52" s="452"/>
      <c r="G52" s="21">
        <v>42</v>
      </c>
      <c r="H52" s="24" t="s">
        <v>1813</v>
      </c>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47" activePane="bottomLeft" state="frozen"/>
      <selection pane="topLeft" activeCell="A1" sqref="A1"/>
      <selection pane="bottomLeft" activeCell="I62" sqref="I62"/>
    </sheetView>
  </sheetViews>
  <sheetFormatPr defaultColWidth="0" defaultRowHeight="12.75" zeroHeight="1"/>
  <cols>
    <col min="1" max="6" width="7.7109375" style="134" customWidth="1"/>
    <col min="7" max="7" width="5.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4" t="s">
        <v>1703</v>
      </c>
      <c r="B2" s="484"/>
      <c r="C2" s="484"/>
      <c r="D2" s="484"/>
      <c r="E2" s="484"/>
      <c r="F2" s="484"/>
      <c r="G2" s="485"/>
      <c r="H2" s="485"/>
      <c r="I2" s="135"/>
      <c r="J2" s="135"/>
      <c r="K2" s="135"/>
      <c r="L2" s="135"/>
      <c r="M2" s="135"/>
      <c r="N2" s="135"/>
      <c r="O2" s="136"/>
      <c r="P2" s="391" t="s">
        <v>2596</v>
      </c>
      <c r="Q2" s="473"/>
      <c r="R2" s="473"/>
      <c r="S2" s="473"/>
      <c r="T2" s="473"/>
      <c r="U2" s="473"/>
      <c r="V2" s="473"/>
      <c r="W2" s="474"/>
      <c r="X2" s="391" t="s">
        <v>2596</v>
      </c>
      <c r="AA2" s="3">
        <f>IF(OR(MAX(H10:X32)&lt;&gt;0,MIN(H10:X32)&lt;&gt;0),1,0)</f>
        <v>0</v>
      </c>
      <c r="AB2" s="3" t="s">
        <v>2598</v>
      </c>
    </row>
    <row r="3" spans="1:28" s="3" customFormat="1" ht="19.5" customHeight="1" thickBot="1">
      <c r="A3" s="486" t="str">
        <f>"za razdoblje od "&amp;IF(RefStr!C4&lt;&gt;"",TEXT(RefStr!C4,"DD.MM.YYYY."),"__.__.____.")&amp;" do "&amp;IF(RefStr!F4&lt;&gt;"",TEXT(RefStr!F4,"DD.MM.YYYY."),"__.__.____.")</f>
        <v>za razdoblje od 01.01.2019. do 31.12.2019.</v>
      </c>
      <c r="B3" s="486"/>
      <c r="C3" s="486"/>
      <c r="D3" s="486"/>
      <c r="E3" s="486"/>
      <c r="F3" s="486"/>
      <c r="G3" s="487"/>
      <c r="H3" s="487"/>
      <c r="I3" s="135"/>
      <c r="J3" s="135"/>
      <c r="K3" s="135"/>
      <c r="L3" s="135"/>
      <c r="M3" s="135"/>
      <c r="N3" s="135"/>
      <c r="O3" s="136"/>
      <c r="P3" s="425"/>
      <c r="Q3" s="473"/>
      <c r="R3" s="473"/>
      <c r="S3" s="473"/>
      <c r="T3" s="473"/>
      <c r="U3" s="473"/>
      <c r="V3" s="473"/>
      <c r="W3" s="474"/>
      <c r="X3" s="48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8" t="str">
        <f>"Obveznik: "&amp;IF(RefStr!C27&lt;&gt;"",RefStr!C27,"________")&amp;"; "&amp;IF(RefStr!C29&lt;&gt;"",RefStr!C29,"________________________________________________________"&amp;"; "&amp;IF(RefStr!F31&lt;&gt;"",RefStr!F31,"_______________"))</f>
        <v>Obveznik: 07538718933; ISTRA d.d.</v>
      </c>
      <c r="B5" s="479"/>
      <c r="C5" s="479"/>
      <c r="D5" s="479"/>
      <c r="E5" s="479"/>
      <c r="F5" s="479"/>
      <c r="G5" s="479"/>
      <c r="H5" s="479"/>
      <c r="I5" s="479"/>
      <c r="J5" s="479"/>
      <c r="K5" s="479"/>
      <c r="L5" s="479"/>
      <c r="M5" s="479"/>
      <c r="N5" s="479"/>
      <c r="O5" s="480"/>
      <c r="P5" s="480"/>
      <c r="Q5" s="480"/>
      <c r="R5" s="480"/>
      <c r="S5" s="480"/>
      <c r="T5" s="480"/>
      <c r="U5" s="480"/>
      <c r="V5" s="480"/>
      <c r="W5" s="480"/>
      <c r="X5" s="481"/>
      <c r="AA5" s="3">
        <f>IF(OR(MAX(W10:W32)&lt;&gt;0,MIN(W10:W32)&lt;&gt;0),1,0)</f>
        <v>0</v>
      </c>
      <c r="AB5" s="16" t="s">
        <v>2894</v>
      </c>
    </row>
    <row r="6" spans="1:28" s="3" customFormat="1" ht="15" customHeight="1" thickBot="1">
      <c r="A6" s="453" t="s">
        <v>782</v>
      </c>
      <c r="B6" s="468"/>
      <c r="C6" s="468"/>
      <c r="D6" s="468"/>
      <c r="E6" s="468"/>
      <c r="F6" s="468"/>
      <c r="G6" s="454" t="s">
        <v>799</v>
      </c>
      <c r="H6" s="403" t="s">
        <v>1968</v>
      </c>
      <c r="I6" s="454" t="s">
        <v>780</v>
      </c>
      <c r="J6" s="454"/>
      <c r="K6" s="454"/>
      <c r="L6" s="454"/>
      <c r="M6" s="454"/>
      <c r="N6" s="454"/>
      <c r="O6" s="454"/>
      <c r="P6" s="454"/>
      <c r="Q6" s="454"/>
      <c r="R6" s="454"/>
      <c r="S6" s="454"/>
      <c r="T6" s="454"/>
      <c r="U6" s="454"/>
      <c r="V6" s="454"/>
      <c r="W6" s="454" t="s">
        <v>2599</v>
      </c>
      <c r="X6" s="488" t="s">
        <v>781</v>
      </c>
      <c r="AA6" s="3">
        <f>IF(OR(MAX(W38:W60)&lt;&gt;0,MIN(W38:W60)&lt;&gt;0),1,0)</f>
        <v>0</v>
      </c>
      <c r="AB6" s="16" t="s">
        <v>404</v>
      </c>
    </row>
    <row r="7" spans="1:28" s="3" customFormat="1" ht="57" thickBot="1">
      <c r="A7" s="469"/>
      <c r="B7" s="470"/>
      <c r="C7" s="470"/>
      <c r="D7" s="470"/>
      <c r="E7" s="470"/>
      <c r="F7" s="470"/>
      <c r="G7" s="482"/>
      <c r="H7" s="482"/>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82"/>
      <c r="X7" s="489"/>
      <c r="AA7" s="3">
        <f>IF(RefStr!N19="MSFI",1,0)</f>
        <v>0</v>
      </c>
      <c r="AB7" s="16" t="s">
        <v>134</v>
      </c>
    </row>
    <row r="8" spans="1:24" s="3" customFormat="1" ht="23.25" customHeight="1">
      <c r="A8" s="471">
        <v>1</v>
      </c>
      <c r="B8" s="472"/>
      <c r="C8" s="472"/>
      <c r="D8" s="472"/>
      <c r="E8" s="472"/>
      <c r="F8" s="472"/>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5" t="s">
        <v>783</v>
      </c>
      <c r="B9" s="475"/>
      <c r="C9" s="475"/>
      <c r="D9" s="475"/>
      <c r="E9" s="475"/>
      <c r="F9" s="475"/>
      <c r="G9" s="475"/>
      <c r="H9" s="475"/>
      <c r="I9" s="475"/>
      <c r="J9" s="475"/>
      <c r="K9" s="475"/>
      <c r="L9" s="475"/>
      <c r="M9" s="475"/>
      <c r="N9" s="475"/>
      <c r="O9" s="476"/>
      <c r="P9" s="476"/>
      <c r="Q9" s="476"/>
      <c r="R9" s="476"/>
      <c r="S9" s="476"/>
      <c r="T9" s="476"/>
      <c r="U9" s="476"/>
      <c r="V9" s="476"/>
      <c r="W9" s="476"/>
      <c r="X9" s="477"/>
      <c r="AB9" s="138"/>
      <c r="AC9" s="139"/>
      <c r="AD9" s="138"/>
      <c r="AE9" s="139"/>
    </row>
    <row r="10" spans="1:31" s="3" customFormat="1" ht="13.5" customHeight="1">
      <c r="A10" s="466" t="s">
        <v>1461</v>
      </c>
      <c r="B10" s="466"/>
      <c r="C10" s="466"/>
      <c r="D10" s="466"/>
      <c r="E10" s="466"/>
      <c r="F10" s="466"/>
      <c r="G10" s="204">
        <v>1</v>
      </c>
      <c r="H10" s="132"/>
      <c r="I10" s="25">
        <v>0</v>
      </c>
      <c r="J10" s="25">
        <v>0</v>
      </c>
      <c r="K10" s="25">
        <v>0</v>
      </c>
      <c r="L10" s="25">
        <v>0</v>
      </c>
      <c r="M10" s="25">
        <v>0</v>
      </c>
      <c r="N10" s="25">
        <v>0</v>
      </c>
      <c r="O10" s="25">
        <v>0</v>
      </c>
      <c r="P10" s="25">
        <v>0</v>
      </c>
      <c r="Q10" s="25">
        <v>0</v>
      </c>
      <c r="R10" s="25">
        <v>0</v>
      </c>
      <c r="S10" s="25">
        <v>0</v>
      </c>
      <c r="T10" s="25">
        <v>0</v>
      </c>
      <c r="U10" s="25">
        <v>0</v>
      </c>
      <c r="V10" s="207">
        <f>SUM(I10:L10)-M10+SUM(N10:U10)</f>
        <v>0</v>
      </c>
      <c r="W10" s="25">
        <v>0</v>
      </c>
      <c r="X10" s="207">
        <f>W10+V10</f>
        <v>0</v>
      </c>
      <c r="AB10" s="139"/>
      <c r="AC10" s="139"/>
      <c r="AD10" s="139"/>
      <c r="AE10" s="139"/>
    </row>
    <row r="11" spans="1:31" s="3" customFormat="1" ht="13.5" customHeight="1">
      <c r="A11" s="461" t="s">
        <v>1462</v>
      </c>
      <c r="B11" s="461"/>
      <c r="C11" s="461"/>
      <c r="D11" s="461"/>
      <c r="E11" s="461"/>
      <c r="F11" s="461"/>
      <c r="G11" s="204">
        <v>2</v>
      </c>
      <c r="H11" s="132"/>
      <c r="I11" s="25">
        <v>0</v>
      </c>
      <c r="J11" s="25">
        <v>0</v>
      </c>
      <c r="K11" s="25">
        <v>0</v>
      </c>
      <c r="L11" s="25">
        <v>0</v>
      </c>
      <c r="M11" s="25">
        <v>0</v>
      </c>
      <c r="N11" s="25">
        <v>0</v>
      </c>
      <c r="O11" s="25">
        <v>0</v>
      </c>
      <c r="P11" s="25">
        <v>0</v>
      </c>
      <c r="Q11" s="25">
        <v>0</v>
      </c>
      <c r="R11" s="25">
        <v>0</v>
      </c>
      <c r="S11" s="25">
        <v>0</v>
      </c>
      <c r="T11" s="25">
        <v>0</v>
      </c>
      <c r="U11" s="25">
        <v>0</v>
      </c>
      <c r="V11" s="207">
        <f aca="true" t="shared" si="0" ref="V11:V32">SUM(I11:L11)-M11+SUM(N11:U11)</f>
        <v>0</v>
      </c>
      <c r="W11" s="25">
        <v>0</v>
      </c>
      <c r="X11" s="207">
        <f aca="true" t="shared" si="1" ref="X11:X60">W11+V11</f>
        <v>0</v>
      </c>
      <c r="AB11" s="138"/>
      <c r="AC11" s="138"/>
      <c r="AD11" s="138"/>
      <c r="AE11" s="139"/>
    </row>
    <row r="12" spans="1:31" s="3" customFormat="1" ht="13.5" customHeight="1">
      <c r="A12" s="461" t="s">
        <v>1463</v>
      </c>
      <c r="B12" s="461"/>
      <c r="C12" s="461"/>
      <c r="D12" s="461"/>
      <c r="E12" s="461"/>
      <c r="F12" s="461"/>
      <c r="G12" s="204">
        <v>3</v>
      </c>
      <c r="H12" s="132"/>
      <c r="I12" s="25">
        <v>0</v>
      </c>
      <c r="J12" s="25">
        <v>0</v>
      </c>
      <c r="K12" s="25">
        <v>0</v>
      </c>
      <c r="L12" s="25">
        <v>0</v>
      </c>
      <c r="M12" s="25">
        <v>0</v>
      </c>
      <c r="N12" s="25">
        <v>0</v>
      </c>
      <c r="O12" s="25">
        <v>0</v>
      </c>
      <c r="P12" s="25">
        <v>0</v>
      </c>
      <c r="Q12" s="25">
        <v>0</v>
      </c>
      <c r="R12" s="25">
        <v>0</v>
      </c>
      <c r="S12" s="25">
        <v>0</v>
      </c>
      <c r="T12" s="25">
        <v>0</v>
      </c>
      <c r="U12" s="25">
        <v>0</v>
      </c>
      <c r="V12" s="207">
        <f t="shared" si="0"/>
        <v>0</v>
      </c>
      <c r="W12" s="25">
        <v>0</v>
      </c>
      <c r="X12" s="207">
        <f t="shared" si="1"/>
        <v>0</v>
      </c>
      <c r="AB12" s="140"/>
      <c r="AC12" s="140"/>
      <c r="AD12" s="140"/>
      <c r="AE12" s="139"/>
    </row>
    <row r="13" spans="1:31" s="3" customFormat="1" ht="13.5" customHeight="1">
      <c r="A13" s="466" t="s">
        <v>1464</v>
      </c>
      <c r="B13" s="466"/>
      <c r="C13" s="466"/>
      <c r="D13" s="466"/>
      <c r="E13" s="466"/>
      <c r="F13" s="466"/>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1" t="s">
        <v>1465</v>
      </c>
      <c r="B14" s="461"/>
      <c r="C14" s="461"/>
      <c r="D14" s="461"/>
      <c r="E14" s="461"/>
      <c r="F14" s="461"/>
      <c r="G14" s="204">
        <v>5</v>
      </c>
      <c r="H14" s="132"/>
      <c r="I14" s="217"/>
      <c r="J14" s="217"/>
      <c r="K14" s="217"/>
      <c r="L14" s="217"/>
      <c r="M14" s="217"/>
      <c r="N14" s="217"/>
      <c r="O14" s="217"/>
      <c r="P14" s="217"/>
      <c r="Q14" s="217"/>
      <c r="R14" s="217"/>
      <c r="S14" s="217"/>
      <c r="T14" s="217"/>
      <c r="U14" s="25">
        <v>0</v>
      </c>
      <c r="V14" s="207">
        <f t="shared" si="0"/>
        <v>0</v>
      </c>
      <c r="W14" s="25">
        <v>0</v>
      </c>
      <c r="X14" s="207">
        <f t="shared" si="1"/>
        <v>0</v>
      </c>
      <c r="AB14" s="140"/>
      <c r="AC14" s="140"/>
      <c r="AD14" s="140"/>
      <c r="AE14" s="139"/>
    </row>
    <row r="15" spans="1:31" s="3" customFormat="1" ht="13.5" customHeight="1">
      <c r="A15" s="461" t="s">
        <v>1466</v>
      </c>
      <c r="B15" s="461"/>
      <c r="C15" s="461"/>
      <c r="D15" s="461"/>
      <c r="E15" s="461"/>
      <c r="F15" s="461"/>
      <c r="G15" s="204">
        <v>6</v>
      </c>
      <c r="H15" s="132"/>
      <c r="I15" s="217"/>
      <c r="J15" s="217"/>
      <c r="K15" s="217"/>
      <c r="L15" s="217"/>
      <c r="M15" s="217"/>
      <c r="N15" s="217"/>
      <c r="O15" s="25">
        <v>0</v>
      </c>
      <c r="P15" s="217"/>
      <c r="Q15" s="217"/>
      <c r="R15" s="217"/>
      <c r="S15" s="217"/>
      <c r="T15" s="217"/>
      <c r="U15" s="217"/>
      <c r="V15" s="207">
        <f t="shared" si="0"/>
        <v>0</v>
      </c>
      <c r="W15" s="25">
        <v>0</v>
      </c>
      <c r="X15" s="207">
        <f t="shared" si="1"/>
        <v>0</v>
      </c>
      <c r="AB15" s="141"/>
      <c r="AC15" s="141"/>
      <c r="AD15" s="141"/>
      <c r="AE15" s="139"/>
    </row>
    <row r="16" spans="1:31" s="3" customFormat="1" ht="24.75" customHeight="1">
      <c r="A16" s="461" t="s">
        <v>1467</v>
      </c>
      <c r="B16" s="461"/>
      <c r="C16" s="461"/>
      <c r="D16" s="461"/>
      <c r="E16" s="461"/>
      <c r="F16" s="461"/>
      <c r="G16" s="204">
        <v>7</v>
      </c>
      <c r="H16" s="132"/>
      <c r="I16" s="217"/>
      <c r="J16" s="217"/>
      <c r="K16" s="217"/>
      <c r="L16" s="217"/>
      <c r="M16" s="217"/>
      <c r="N16" s="217"/>
      <c r="O16" s="217"/>
      <c r="P16" s="25">
        <v>0</v>
      </c>
      <c r="Q16" s="217"/>
      <c r="R16" s="217"/>
      <c r="S16" s="217"/>
      <c r="T16" s="25">
        <v>0</v>
      </c>
      <c r="U16" s="25">
        <v>0</v>
      </c>
      <c r="V16" s="207">
        <f t="shared" si="0"/>
        <v>0</v>
      </c>
      <c r="W16" s="25">
        <v>0</v>
      </c>
      <c r="X16" s="207">
        <f t="shared" si="1"/>
        <v>0</v>
      </c>
      <c r="AB16" s="141"/>
      <c r="AC16" s="141"/>
      <c r="AD16" s="141"/>
      <c r="AE16" s="139"/>
    </row>
    <row r="17" spans="1:31" s="3" customFormat="1" ht="24.75" customHeight="1">
      <c r="A17" s="461" t="s">
        <v>1468</v>
      </c>
      <c r="B17" s="461"/>
      <c r="C17" s="461"/>
      <c r="D17" s="461"/>
      <c r="E17" s="461"/>
      <c r="F17" s="461"/>
      <c r="G17" s="204">
        <v>8</v>
      </c>
      <c r="H17" s="132"/>
      <c r="I17" s="217"/>
      <c r="J17" s="217"/>
      <c r="K17" s="217"/>
      <c r="L17" s="217"/>
      <c r="M17" s="217"/>
      <c r="N17" s="217"/>
      <c r="O17" s="217"/>
      <c r="P17" s="217"/>
      <c r="Q17" s="25">
        <v>0</v>
      </c>
      <c r="R17" s="217"/>
      <c r="S17" s="217"/>
      <c r="T17" s="25">
        <v>0</v>
      </c>
      <c r="U17" s="25">
        <v>0</v>
      </c>
      <c r="V17" s="207">
        <f t="shared" si="0"/>
        <v>0</v>
      </c>
      <c r="W17" s="25">
        <v>0</v>
      </c>
      <c r="X17" s="207">
        <f t="shared" si="1"/>
        <v>0</v>
      </c>
      <c r="AB17" s="141"/>
      <c r="AC17" s="141"/>
      <c r="AD17" s="141"/>
      <c r="AE17" s="139"/>
    </row>
    <row r="18" spans="1:31" s="3" customFormat="1" ht="13.5" customHeight="1">
      <c r="A18" s="461" t="s">
        <v>1469</v>
      </c>
      <c r="B18" s="461"/>
      <c r="C18" s="461"/>
      <c r="D18" s="461"/>
      <c r="E18" s="461"/>
      <c r="F18" s="461"/>
      <c r="G18" s="204">
        <v>9</v>
      </c>
      <c r="H18" s="132"/>
      <c r="I18" s="217"/>
      <c r="J18" s="217"/>
      <c r="K18" s="217"/>
      <c r="L18" s="217"/>
      <c r="M18" s="217"/>
      <c r="N18" s="217"/>
      <c r="O18" s="217"/>
      <c r="P18" s="217"/>
      <c r="Q18" s="217"/>
      <c r="R18" s="25">
        <v>0</v>
      </c>
      <c r="S18" s="217"/>
      <c r="T18" s="25">
        <v>0</v>
      </c>
      <c r="U18" s="25">
        <v>0</v>
      </c>
      <c r="V18" s="207">
        <f t="shared" si="0"/>
        <v>0</v>
      </c>
      <c r="W18" s="25">
        <v>0</v>
      </c>
      <c r="X18" s="207">
        <f t="shared" si="1"/>
        <v>0</v>
      </c>
      <c r="AB18" s="140"/>
      <c r="AC18" s="140"/>
      <c r="AD18" s="140"/>
      <c r="AE18" s="139"/>
    </row>
    <row r="19" spans="1:31" s="3" customFormat="1" ht="24.75" customHeight="1">
      <c r="A19" s="461" t="s">
        <v>1470</v>
      </c>
      <c r="B19" s="461"/>
      <c r="C19" s="461"/>
      <c r="D19" s="461"/>
      <c r="E19" s="461"/>
      <c r="F19" s="461"/>
      <c r="G19" s="204">
        <v>10</v>
      </c>
      <c r="H19" s="132"/>
      <c r="I19" s="217"/>
      <c r="J19" s="217"/>
      <c r="K19" s="217"/>
      <c r="L19" s="217"/>
      <c r="M19" s="217"/>
      <c r="N19" s="217"/>
      <c r="O19" s="217"/>
      <c r="P19" s="217"/>
      <c r="Q19" s="217"/>
      <c r="R19" s="217"/>
      <c r="S19" s="25">
        <v>0</v>
      </c>
      <c r="T19" s="25">
        <v>0</v>
      </c>
      <c r="U19" s="25">
        <v>0</v>
      </c>
      <c r="V19" s="207">
        <f t="shared" si="0"/>
        <v>0</v>
      </c>
      <c r="W19" s="25">
        <v>0</v>
      </c>
      <c r="X19" s="207">
        <f t="shared" si="1"/>
        <v>0</v>
      </c>
      <c r="AB19" s="141"/>
      <c r="AC19" s="141"/>
      <c r="AD19" s="141"/>
      <c r="AE19" s="139"/>
    </row>
    <row r="20" spans="1:31" s="3" customFormat="1" ht="24.75" customHeight="1">
      <c r="A20" s="461" t="s">
        <v>1471</v>
      </c>
      <c r="B20" s="461"/>
      <c r="C20" s="461"/>
      <c r="D20" s="461"/>
      <c r="E20" s="461"/>
      <c r="F20" s="461"/>
      <c r="G20" s="204">
        <v>11</v>
      </c>
      <c r="H20" s="132"/>
      <c r="I20" s="217"/>
      <c r="J20" s="217"/>
      <c r="K20" s="217"/>
      <c r="L20" s="217"/>
      <c r="M20" s="217"/>
      <c r="N20" s="217"/>
      <c r="O20" s="25">
        <v>0</v>
      </c>
      <c r="P20" s="25">
        <v>0</v>
      </c>
      <c r="Q20" s="25">
        <v>0</v>
      </c>
      <c r="R20" s="25">
        <v>0</v>
      </c>
      <c r="S20" s="25">
        <v>0</v>
      </c>
      <c r="T20" s="25">
        <v>0</v>
      </c>
      <c r="U20" s="25">
        <v>0</v>
      </c>
      <c r="V20" s="207">
        <f t="shared" si="0"/>
        <v>0</v>
      </c>
      <c r="W20" s="25">
        <v>0</v>
      </c>
      <c r="X20" s="207">
        <f t="shared" si="1"/>
        <v>0</v>
      </c>
      <c r="AB20" s="141"/>
      <c r="AC20" s="141"/>
      <c r="AD20" s="141"/>
      <c r="AE20" s="139"/>
    </row>
    <row r="21" spans="1:31" s="3" customFormat="1" ht="15.75" customHeight="1">
      <c r="A21" s="461" t="s">
        <v>825</v>
      </c>
      <c r="B21" s="461"/>
      <c r="C21" s="461"/>
      <c r="D21" s="461"/>
      <c r="E21" s="461"/>
      <c r="F21" s="461"/>
      <c r="G21" s="204">
        <v>12</v>
      </c>
      <c r="H21" s="132"/>
      <c r="I21" s="217"/>
      <c r="J21" s="217"/>
      <c r="K21" s="217"/>
      <c r="L21" s="217"/>
      <c r="M21" s="217"/>
      <c r="N21" s="217"/>
      <c r="O21" s="25">
        <v>0</v>
      </c>
      <c r="P21" s="25">
        <v>0</v>
      </c>
      <c r="Q21" s="25">
        <v>0</v>
      </c>
      <c r="R21" s="25">
        <v>0</v>
      </c>
      <c r="S21" s="25">
        <v>0</v>
      </c>
      <c r="T21" s="25">
        <v>0</v>
      </c>
      <c r="U21" s="25">
        <v>0</v>
      </c>
      <c r="V21" s="207">
        <f t="shared" si="0"/>
        <v>0</v>
      </c>
      <c r="W21" s="25">
        <v>0</v>
      </c>
      <c r="X21" s="207">
        <f t="shared" si="1"/>
        <v>0</v>
      </c>
      <c r="AB21" s="141"/>
      <c r="AC21" s="141"/>
      <c r="AD21" s="141"/>
      <c r="AE21" s="139"/>
    </row>
    <row r="22" spans="1:29" s="3" customFormat="1" ht="13.5" customHeight="1">
      <c r="A22" s="461" t="s">
        <v>826</v>
      </c>
      <c r="B22" s="461"/>
      <c r="C22" s="461"/>
      <c r="D22" s="461"/>
      <c r="E22" s="461"/>
      <c r="F22" s="461"/>
      <c r="G22" s="204">
        <v>13</v>
      </c>
      <c r="H22" s="132"/>
      <c r="I22" s="25">
        <v>0</v>
      </c>
      <c r="J22" s="25">
        <v>0</v>
      </c>
      <c r="K22" s="25">
        <v>0</v>
      </c>
      <c r="L22" s="25">
        <v>0</v>
      </c>
      <c r="M22" s="25">
        <v>0</v>
      </c>
      <c r="N22" s="25">
        <v>0</v>
      </c>
      <c r="O22" s="25">
        <v>0</v>
      </c>
      <c r="P22" s="25">
        <v>0</v>
      </c>
      <c r="Q22" s="25">
        <v>0</v>
      </c>
      <c r="R22" s="25">
        <v>0</v>
      </c>
      <c r="S22" s="25">
        <v>0</v>
      </c>
      <c r="T22" s="25">
        <v>0</v>
      </c>
      <c r="U22" s="25">
        <v>0</v>
      </c>
      <c r="V22" s="207">
        <f t="shared" si="0"/>
        <v>0</v>
      </c>
      <c r="W22" s="25">
        <v>0</v>
      </c>
      <c r="X22" s="207">
        <f t="shared" si="1"/>
        <v>0</v>
      </c>
      <c r="AB22" s="139"/>
      <c r="AC22" s="134"/>
    </row>
    <row r="23" spans="1:29" s="3" customFormat="1" ht="13.5" customHeight="1">
      <c r="A23" s="461" t="s">
        <v>827</v>
      </c>
      <c r="B23" s="461"/>
      <c r="C23" s="461"/>
      <c r="D23" s="461"/>
      <c r="E23" s="461"/>
      <c r="F23" s="461"/>
      <c r="G23" s="204">
        <v>14</v>
      </c>
      <c r="H23" s="132"/>
      <c r="I23" s="217"/>
      <c r="J23" s="217"/>
      <c r="K23" s="217"/>
      <c r="L23" s="217"/>
      <c r="M23" s="217"/>
      <c r="N23" s="217"/>
      <c r="O23" s="25">
        <v>0</v>
      </c>
      <c r="P23" s="25">
        <v>0</v>
      </c>
      <c r="Q23" s="25">
        <v>0</v>
      </c>
      <c r="R23" s="25">
        <v>0</v>
      </c>
      <c r="S23" s="25">
        <v>0</v>
      </c>
      <c r="T23" s="25">
        <v>0</v>
      </c>
      <c r="U23" s="25">
        <v>0</v>
      </c>
      <c r="V23" s="207">
        <f t="shared" si="0"/>
        <v>0</v>
      </c>
      <c r="W23" s="25">
        <v>0</v>
      </c>
      <c r="X23" s="207">
        <f t="shared" si="1"/>
        <v>0</v>
      </c>
      <c r="AB23" s="139"/>
      <c r="AC23" s="134"/>
    </row>
    <row r="24" spans="1:29" s="3" customFormat="1" ht="24.75" customHeight="1">
      <c r="A24" s="461" t="s">
        <v>828</v>
      </c>
      <c r="B24" s="461"/>
      <c r="C24" s="461"/>
      <c r="D24" s="461"/>
      <c r="E24" s="461"/>
      <c r="F24" s="461"/>
      <c r="G24" s="204">
        <v>15</v>
      </c>
      <c r="H24" s="132"/>
      <c r="I24" s="25">
        <v>0</v>
      </c>
      <c r="J24" s="25">
        <v>0</v>
      </c>
      <c r="K24" s="25">
        <v>0</v>
      </c>
      <c r="L24" s="25">
        <v>0</v>
      </c>
      <c r="M24" s="25">
        <v>0</v>
      </c>
      <c r="N24" s="25">
        <v>0</v>
      </c>
      <c r="O24" s="25">
        <v>0</v>
      </c>
      <c r="P24" s="25">
        <v>0</v>
      </c>
      <c r="Q24" s="25">
        <v>0</v>
      </c>
      <c r="R24" s="25">
        <v>0</v>
      </c>
      <c r="S24" s="25">
        <v>0</v>
      </c>
      <c r="T24" s="25">
        <v>0</v>
      </c>
      <c r="U24" s="25">
        <v>0</v>
      </c>
      <c r="V24" s="207">
        <f t="shared" si="0"/>
        <v>0</v>
      </c>
      <c r="W24" s="25">
        <v>0</v>
      </c>
      <c r="X24" s="207">
        <f t="shared" si="1"/>
        <v>0</v>
      </c>
      <c r="AB24" s="139"/>
      <c r="AC24" s="134"/>
    </row>
    <row r="25" spans="1:29" s="3" customFormat="1" ht="24.75" customHeight="1">
      <c r="A25" s="461" t="s">
        <v>829</v>
      </c>
      <c r="B25" s="461"/>
      <c r="C25" s="461"/>
      <c r="D25" s="461"/>
      <c r="E25" s="461"/>
      <c r="F25" s="461"/>
      <c r="G25" s="204">
        <v>16</v>
      </c>
      <c r="H25" s="132"/>
      <c r="I25" s="25">
        <v>0</v>
      </c>
      <c r="J25" s="25">
        <v>0</v>
      </c>
      <c r="K25" s="25">
        <v>0</v>
      </c>
      <c r="L25" s="25">
        <v>0</v>
      </c>
      <c r="M25" s="25">
        <v>0</v>
      </c>
      <c r="N25" s="25">
        <v>0</v>
      </c>
      <c r="O25" s="25">
        <v>0</v>
      </c>
      <c r="P25" s="25">
        <v>0</v>
      </c>
      <c r="Q25" s="25">
        <v>0</v>
      </c>
      <c r="R25" s="25">
        <v>0</v>
      </c>
      <c r="S25" s="25">
        <v>0</v>
      </c>
      <c r="T25" s="25">
        <v>0</v>
      </c>
      <c r="U25" s="25">
        <v>0</v>
      </c>
      <c r="V25" s="207">
        <f t="shared" si="0"/>
        <v>0</v>
      </c>
      <c r="W25" s="25">
        <v>0</v>
      </c>
      <c r="X25" s="207">
        <f t="shared" si="1"/>
        <v>0</v>
      </c>
      <c r="AB25" s="139"/>
      <c r="AC25" s="134"/>
    </row>
    <row r="26" spans="1:29" s="3" customFormat="1" ht="24.75" customHeight="1">
      <c r="A26" s="461" t="s">
        <v>830</v>
      </c>
      <c r="B26" s="461"/>
      <c r="C26" s="461"/>
      <c r="D26" s="461"/>
      <c r="E26" s="461"/>
      <c r="F26" s="461"/>
      <c r="G26" s="204">
        <v>17</v>
      </c>
      <c r="H26" s="132"/>
      <c r="I26" s="25">
        <v>0</v>
      </c>
      <c r="J26" s="25">
        <v>0</v>
      </c>
      <c r="K26" s="25">
        <v>0</v>
      </c>
      <c r="L26" s="25">
        <v>0</v>
      </c>
      <c r="M26" s="25">
        <v>0</v>
      </c>
      <c r="N26" s="25">
        <v>0</v>
      </c>
      <c r="O26" s="25">
        <v>0</v>
      </c>
      <c r="P26" s="25">
        <v>0</v>
      </c>
      <c r="Q26" s="25">
        <v>0</v>
      </c>
      <c r="R26" s="25">
        <v>0</v>
      </c>
      <c r="S26" s="25">
        <v>0</v>
      </c>
      <c r="T26" s="25">
        <v>0</v>
      </c>
      <c r="U26" s="25">
        <v>0</v>
      </c>
      <c r="V26" s="207">
        <f t="shared" si="0"/>
        <v>0</v>
      </c>
      <c r="W26" s="25">
        <v>0</v>
      </c>
      <c r="X26" s="207">
        <f t="shared" si="1"/>
        <v>0</v>
      </c>
      <c r="AB26" s="139"/>
      <c r="AC26" s="134"/>
    </row>
    <row r="27" spans="1:28" ht="13.5" customHeight="1">
      <c r="A27" s="461" t="s">
        <v>831</v>
      </c>
      <c r="B27" s="461"/>
      <c r="C27" s="461"/>
      <c r="D27" s="461"/>
      <c r="E27" s="461"/>
      <c r="F27" s="461"/>
      <c r="G27" s="204">
        <v>18</v>
      </c>
      <c r="H27" s="132"/>
      <c r="I27" s="25">
        <v>0</v>
      </c>
      <c r="J27" s="25">
        <v>0</v>
      </c>
      <c r="K27" s="25">
        <v>0</v>
      </c>
      <c r="L27" s="25">
        <v>0</v>
      </c>
      <c r="M27" s="25">
        <v>0</v>
      </c>
      <c r="N27" s="25">
        <v>0</v>
      </c>
      <c r="O27" s="25">
        <v>0</v>
      </c>
      <c r="P27" s="25">
        <v>0</v>
      </c>
      <c r="Q27" s="25">
        <v>0</v>
      </c>
      <c r="R27" s="25">
        <v>0</v>
      </c>
      <c r="S27" s="25">
        <v>0</v>
      </c>
      <c r="T27" s="25">
        <v>0</v>
      </c>
      <c r="U27" s="25">
        <v>0</v>
      </c>
      <c r="V27" s="207">
        <f t="shared" si="0"/>
        <v>0</v>
      </c>
      <c r="W27" s="25">
        <v>0</v>
      </c>
      <c r="X27" s="207">
        <f t="shared" si="1"/>
        <v>0</v>
      </c>
      <c r="AB27" s="139"/>
    </row>
    <row r="28" spans="1:28" ht="13.5" customHeight="1">
      <c r="A28" s="461" t="s">
        <v>832</v>
      </c>
      <c r="B28" s="461"/>
      <c r="C28" s="461"/>
      <c r="D28" s="461"/>
      <c r="E28" s="461"/>
      <c r="F28" s="461"/>
      <c r="G28" s="204">
        <v>19</v>
      </c>
      <c r="H28" s="132"/>
      <c r="I28" s="25">
        <v>0</v>
      </c>
      <c r="J28" s="25">
        <v>0</v>
      </c>
      <c r="K28" s="25">
        <v>0</v>
      </c>
      <c r="L28" s="25">
        <v>0</v>
      </c>
      <c r="M28" s="25">
        <v>0</v>
      </c>
      <c r="N28" s="25">
        <v>0</v>
      </c>
      <c r="O28" s="25">
        <v>0</v>
      </c>
      <c r="P28" s="25">
        <v>0</v>
      </c>
      <c r="Q28" s="25">
        <v>0</v>
      </c>
      <c r="R28" s="25">
        <v>0</v>
      </c>
      <c r="S28" s="25">
        <v>0</v>
      </c>
      <c r="T28" s="25">
        <v>0</v>
      </c>
      <c r="U28" s="25">
        <v>0</v>
      </c>
      <c r="V28" s="207">
        <f t="shared" si="0"/>
        <v>0</v>
      </c>
      <c r="W28" s="25">
        <v>0</v>
      </c>
      <c r="X28" s="207">
        <f t="shared" si="1"/>
        <v>0</v>
      </c>
      <c r="AB28" s="139"/>
    </row>
    <row r="29" spans="1:28" ht="13.5" customHeight="1">
      <c r="A29" s="461" t="s">
        <v>833</v>
      </c>
      <c r="B29" s="461"/>
      <c r="C29" s="461"/>
      <c r="D29" s="461"/>
      <c r="E29" s="461"/>
      <c r="F29" s="461"/>
      <c r="G29" s="204">
        <v>20</v>
      </c>
      <c r="H29" s="132"/>
      <c r="I29" s="25">
        <v>0</v>
      </c>
      <c r="J29" s="25">
        <v>0</v>
      </c>
      <c r="K29" s="25">
        <v>0</v>
      </c>
      <c r="L29" s="25">
        <v>0</v>
      </c>
      <c r="M29" s="25">
        <v>0</v>
      </c>
      <c r="N29" s="25">
        <v>0</v>
      </c>
      <c r="O29" s="25">
        <v>0</v>
      </c>
      <c r="P29" s="25">
        <v>0</v>
      </c>
      <c r="Q29" s="25">
        <v>0</v>
      </c>
      <c r="R29" s="25">
        <v>0</v>
      </c>
      <c r="S29" s="25">
        <v>0</v>
      </c>
      <c r="T29" s="25">
        <v>0</v>
      </c>
      <c r="U29" s="25">
        <v>0</v>
      </c>
      <c r="V29" s="207">
        <f t="shared" si="0"/>
        <v>0</v>
      </c>
      <c r="W29" s="25">
        <v>0</v>
      </c>
      <c r="X29" s="207">
        <f t="shared" si="1"/>
        <v>0</v>
      </c>
      <c r="AB29" s="139"/>
    </row>
    <row r="30" spans="1:28" ht="13.5" customHeight="1">
      <c r="A30" s="461" t="s">
        <v>834</v>
      </c>
      <c r="B30" s="461"/>
      <c r="C30" s="461"/>
      <c r="D30" s="461"/>
      <c r="E30" s="461"/>
      <c r="F30" s="461"/>
      <c r="G30" s="204">
        <v>21</v>
      </c>
      <c r="H30" s="132"/>
      <c r="I30" s="25">
        <v>0</v>
      </c>
      <c r="J30" s="25">
        <v>0</v>
      </c>
      <c r="K30" s="25">
        <v>0</v>
      </c>
      <c r="L30" s="25">
        <v>0</v>
      </c>
      <c r="M30" s="25">
        <v>0</v>
      </c>
      <c r="N30" s="25">
        <v>0</v>
      </c>
      <c r="O30" s="25">
        <v>0</v>
      </c>
      <c r="P30" s="25">
        <v>0</v>
      </c>
      <c r="Q30" s="25">
        <v>0</v>
      </c>
      <c r="R30" s="25">
        <v>0</v>
      </c>
      <c r="S30" s="25">
        <v>0</v>
      </c>
      <c r="T30" s="25">
        <v>0</v>
      </c>
      <c r="U30" s="25">
        <v>0</v>
      </c>
      <c r="V30" s="207">
        <f t="shared" si="0"/>
        <v>0</v>
      </c>
      <c r="W30" s="25">
        <v>0</v>
      </c>
      <c r="X30" s="207">
        <f t="shared" si="1"/>
        <v>0</v>
      </c>
      <c r="AB30" s="139"/>
    </row>
    <row r="31" spans="1:31" ht="13.5" customHeight="1">
      <c r="A31" s="461" t="s">
        <v>835</v>
      </c>
      <c r="B31" s="461"/>
      <c r="C31" s="461"/>
      <c r="D31" s="461"/>
      <c r="E31" s="461"/>
      <c r="F31" s="461"/>
      <c r="G31" s="204">
        <v>22</v>
      </c>
      <c r="H31" s="132"/>
      <c r="I31" s="25">
        <v>0</v>
      </c>
      <c r="J31" s="25">
        <v>0</v>
      </c>
      <c r="K31" s="25">
        <v>0</v>
      </c>
      <c r="L31" s="25">
        <v>0</v>
      </c>
      <c r="M31" s="25">
        <v>0</v>
      </c>
      <c r="N31" s="25">
        <v>0</v>
      </c>
      <c r="O31" s="25">
        <v>0</v>
      </c>
      <c r="P31" s="25">
        <v>0</v>
      </c>
      <c r="Q31" s="25">
        <v>0</v>
      </c>
      <c r="R31" s="25">
        <v>0</v>
      </c>
      <c r="S31" s="25">
        <v>0</v>
      </c>
      <c r="T31" s="25">
        <v>0</v>
      </c>
      <c r="U31" s="25">
        <v>0</v>
      </c>
      <c r="V31" s="207">
        <f t="shared" si="0"/>
        <v>0</v>
      </c>
      <c r="W31" s="25">
        <v>0</v>
      </c>
      <c r="X31" s="207">
        <f t="shared" si="1"/>
        <v>0</v>
      </c>
      <c r="AE31" s="139"/>
    </row>
    <row r="32" spans="1:31" ht="15" customHeight="1">
      <c r="A32" s="462" t="s">
        <v>2562</v>
      </c>
      <c r="B32" s="462"/>
      <c r="C32" s="462"/>
      <c r="D32" s="462"/>
      <c r="E32" s="462"/>
      <c r="F32" s="462"/>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4" t="s">
        <v>1688</v>
      </c>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AB33" s="138"/>
      <c r="AC33" s="139"/>
      <c r="AD33" s="138"/>
      <c r="AE33" s="139"/>
    </row>
    <row r="34" spans="1:24" ht="25.5" customHeight="1">
      <c r="A34" s="463" t="s">
        <v>2558</v>
      </c>
      <c r="B34" s="463"/>
      <c r="C34" s="463"/>
      <c r="D34" s="463"/>
      <c r="E34" s="463"/>
      <c r="F34" s="463"/>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3" t="s">
        <v>2559</v>
      </c>
      <c r="B35" s="463"/>
      <c r="C35" s="463"/>
      <c r="D35" s="463"/>
      <c r="E35" s="463"/>
      <c r="F35" s="463"/>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60" t="s">
        <v>2563</v>
      </c>
      <c r="B36" s="460"/>
      <c r="C36" s="460"/>
      <c r="D36" s="460"/>
      <c r="E36" s="460"/>
      <c r="F36" s="460"/>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4" t="s">
        <v>798</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AB37" s="138"/>
      <c r="AC37" s="139"/>
      <c r="AD37" s="138"/>
      <c r="AE37" s="139"/>
    </row>
    <row r="38" spans="1:28" ht="13.5" customHeight="1">
      <c r="A38" s="466" t="s">
        <v>836</v>
      </c>
      <c r="B38" s="466"/>
      <c r="C38" s="466"/>
      <c r="D38" s="466"/>
      <c r="E38" s="466"/>
      <c r="F38" s="466"/>
      <c r="G38" s="204">
        <v>27</v>
      </c>
      <c r="H38" s="132"/>
      <c r="I38" s="25">
        <v>0</v>
      </c>
      <c r="J38" s="25">
        <v>0</v>
      </c>
      <c r="K38" s="25">
        <v>0</v>
      </c>
      <c r="L38" s="25">
        <v>0</v>
      </c>
      <c r="M38" s="25">
        <v>0</v>
      </c>
      <c r="N38" s="25">
        <v>0</v>
      </c>
      <c r="O38" s="25">
        <v>0</v>
      </c>
      <c r="P38" s="25">
        <v>0</v>
      </c>
      <c r="Q38" s="25">
        <v>0</v>
      </c>
      <c r="R38" s="25">
        <v>0</v>
      </c>
      <c r="S38" s="25">
        <v>0</v>
      </c>
      <c r="T38" s="25">
        <v>0</v>
      </c>
      <c r="U38" s="25">
        <v>0</v>
      </c>
      <c r="V38" s="207">
        <f aca="true" t="shared" si="10" ref="V38:V60">SUM(I38:L38)-M38+SUM(N38:U38)</f>
        <v>0</v>
      </c>
      <c r="W38" s="25">
        <v>0</v>
      </c>
      <c r="X38" s="207">
        <f t="shared" si="1"/>
        <v>0</v>
      </c>
      <c r="AB38" s="139"/>
    </row>
    <row r="39" spans="1:28" ht="13.5" customHeight="1">
      <c r="A39" s="461" t="s">
        <v>1462</v>
      </c>
      <c r="B39" s="461"/>
      <c r="C39" s="461"/>
      <c r="D39" s="461"/>
      <c r="E39" s="461"/>
      <c r="F39" s="461"/>
      <c r="G39" s="204">
        <v>28</v>
      </c>
      <c r="H39" s="132"/>
      <c r="I39" s="25">
        <v>0</v>
      </c>
      <c r="J39" s="25">
        <v>0</v>
      </c>
      <c r="K39" s="25">
        <v>0</v>
      </c>
      <c r="L39" s="25">
        <v>0</v>
      </c>
      <c r="M39" s="25">
        <v>0</v>
      </c>
      <c r="N39" s="25">
        <v>0</v>
      </c>
      <c r="O39" s="25">
        <v>0</v>
      </c>
      <c r="P39" s="25">
        <v>0</v>
      </c>
      <c r="Q39" s="25">
        <v>0</v>
      </c>
      <c r="R39" s="25">
        <v>0</v>
      </c>
      <c r="S39" s="25">
        <v>0</v>
      </c>
      <c r="T39" s="25">
        <v>0</v>
      </c>
      <c r="U39" s="25">
        <v>0</v>
      </c>
      <c r="V39" s="207">
        <f t="shared" si="10"/>
        <v>0</v>
      </c>
      <c r="W39" s="25">
        <v>0</v>
      </c>
      <c r="X39" s="207">
        <f t="shared" si="1"/>
        <v>0</v>
      </c>
      <c r="AB39" s="139"/>
    </row>
    <row r="40" spans="1:28" ht="13.5" customHeight="1">
      <c r="A40" s="461" t="s">
        <v>1463</v>
      </c>
      <c r="B40" s="461"/>
      <c r="C40" s="461"/>
      <c r="D40" s="461"/>
      <c r="E40" s="461"/>
      <c r="F40" s="461"/>
      <c r="G40" s="204">
        <v>29</v>
      </c>
      <c r="H40" s="132"/>
      <c r="I40" s="25">
        <v>0</v>
      </c>
      <c r="J40" s="25">
        <v>0</v>
      </c>
      <c r="K40" s="25">
        <v>0</v>
      </c>
      <c r="L40" s="25">
        <v>0</v>
      </c>
      <c r="M40" s="25">
        <v>0</v>
      </c>
      <c r="N40" s="25">
        <v>0</v>
      </c>
      <c r="O40" s="25">
        <v>0</v>
      </c>
      <c r="P40" s="25">
        <v>0</v>
      </c>
      <c r="Q40" s="25">
        <v>0</v>
      </c>
      <c r="R40" s="25">
        <v>0</v>
      </c>
      <c r="S40" s="25">
        <v>0</v>
      </c>
      <c r="T40" s="25">
        <v>0</v>
      </c>
      <c r="U40" s="25">
        <v>0</v>
      </c>
      <c r="V40" s="207">
        <f t="shared" si="10"/>
        <v>0</v>
      </c>
      <c r="W40" s="25">
        <v>0</v>
      </c>
      <c r="X40" s="207">
        <f t="shared" si="1"/>
        <v>0</v>
      </c>
      <c r="AB40" s="139"/>
    </row>
    <row r="41" spans="1:31" ht="13.5" customHeight="1">
      <c r="A41" s="466" t="s">
        <v>837</v>
      </c>
      <c r="B41" s="466"/>
      <c r="C41" s="466"/>
      <c r="D41" s="466"/>
      <c r="E41" s="466"/>
      <c r="F41" s="466"/>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1" t="s">
        <v>1465</v>
      </c>
      <c r="B42" s="461"/>
      <c r="C42" s="461"/>
      <c r="D42" s="461"/>
      <c r="E42" s="461"/>
      <c r="F42" s="461"/>
      <c r="G42" s="204">
        <v>31</v>
      </c>
      <c r="H42" s="132"/>
      <c r="I42" s="217"/>
      <c r="J42" s="217"/>
      <c r="K42" s="217"/>
      <c r="L42" s="217"/>
      <c r="M42" s="217"/>
      <c r="N42" s="217"/>
      <c r="O42" s="217"/>
      <c r="P42" s="217"/>
      <c r="Q42" s="217"/>
      <c r="R42" s="217"/>
      <c r="S42" s="217"/>
      <c r="T42" s="217"/>
      <c r="U42" s="25">
        <v>0</v>
      </c>
      <c r="V42" s="207">
        <f t="shared" si="10"/>
        <v>0</v>
      </c>
      <c r="W42" s="25">
        <v>0</v>
      </c>
      <c r="X42" s="207">
        <f t="shared" si="1"/>
        <v>0</v>
      </c>
      <c r="AE42" s="139"/>
    </row>
    <row r="43" spans="1:24" ht="13.5" customHeight="1">
      <c r="A43" s="461" t="s">
        <v>1466</v>
      </c>
      <c r="B43" s="461"/>
      <c r="C43" s="461"/>
      <c r="D43" s="461"/>
      <c r="E43" s="461"/>
      <c r="F43" s="461"/>
      <c r="G43" s="204">
        <v>32</v>
      </c>
      <c r="H43" s="132"/>
      <c r="I43" s="217"/>
      <c r="J43" s="217"/>
      <c r="K43" s="217"/>
      <c r="L43" s="217"/>
      <c r="M43" s="217"/>
      <c r="N43" s="217"/>
      <c r="O43" s="25">
        <v>0</v>
      </c>
      <c r="P43" s="217"/>
      <c r="Q43" s="217"/>
      <c r="R43" s="217"/>
      <c r="S43" s="217"/>
      <c r="T43" s="217"/>
      <c r="U43" s="217"/>
      <c r="V43" s="207">
        <f t="shared" si="10"/>
        <v>0</v>
      </c>
      <c r="W43" s="25">
        <v>0</v>
      </c>
      <c r="X43" s="207">
        <f t="shared" si="1"/>
        <v>0</v>
      </c>
    </row>
    <row r="44" spans="1:24" ht="24.75" customHeight="1">
      <c r="A44" s="461" t="s">
        <v>838</v>
      </c>
      <c r="B44" s="461"/>
      <c r="C44" s="461"/>
      <c r="D44" s="461"/>
      <c r="E44" s="461"/>
      <c r="F44" s="461"/>
      <c r="G44" s="204">
        <v>33</v>
      </c>
      <c r="H44" s="132"/>
      <c r="I44" s="217"/>
      <c r="J44" s="217"/>
      <c r="K44" s="217"/>
      <c r="L44" s="217"/>
      <c r="M44" s="217"/>
      <c r="N44" s="217"/>
      <c r="O44" s="217"/>
      <c r="P44" s="25">
        <v>0</v>
      </c>
      <c r="Q44" s="217"/>
      <c r="R44" s="217"/>
      <c r="S44" s="217"/>
      <c r="T44" s="25">
        <v>0</v>
      </c>
      <c r="U44" s="25">
        <v>0</v>
      </c>
      <c r="V44" s="207">
        <f t="shared" si="10"/>
        <v>0</v>
      </c>
      <c r="W44" s="25">
        <v>0</v>
      </c>
      <c r="X44" s="207">
        <f t="shared" si="1"/>
        <v>0</v>
      </c>
    </row>
    <row r="45" spans="1:29" s="3" customFormat="1" ht="24.75" customHeight="1">
      <c r="A45" s="461" t="s">
        <v>1468</v>
      </c>
      <c r="B45" s="461"/>
      <c r="C45" s="461"/>
      <c r="D45" s="461"/>
      <c r="E45" s="461"/>
      <c r="F45" s="461"/>
      <c r="G45" s="204">
        <v>34</v>
      </c>
      <c r="H45" s="132"/>
      <c r="I45" s="217"/>
      <c r="J45" s="217"/>
      <c r="K45" s="217"/>
      <c r="L45" s="217"/>
      <c r="M45" s="217"/>
      <c r="N45" s="217"/>
      <c r="O45" s="217"/>
      <c r="P45" s="217"/>
      <c r="Q45" s="25">
        <v>0</v>
      </c>
      <c r="R45" s="217"/>
      <c r="S45" s="217"/>
      <c r="T45" s="25">
        <v>0</v>
      </c>
      <c r="U45" s="25">
        <v>0</v>
      </c>
      <c r="V45" s="207">
        <f t="shared" si="10"/>
        <v>0</v>
      </c>
      <c r="W45" s="25">
        <v>0</v>
      </c>
      <c r="X45" s="207">
        <f t="shared" si="1"/>
        <v>0</v>
      </c>
      <c r="AB45" s="139"/>
      <c r="AC45" s="134"/>
    </row>
    <row r="46" spans="1:29" s="3" customFormat="1" ht="13.5" customHeight="1">
      <c r="A46" s="461" t="s">
        <v>1469</v>
      </c>
      <c r="B46" s="461"/>
      <c r="C46" s="461"/>
      <c r="D46" s="461"/>
      <c r="E46" s="461"/>
      <c r="F46" s="461"/>
      <c r="G46" s="204">
        <v>35</v>
      </c>
      <c r="H46" s="132"/>
      <c r="I46" s="217"/>
      <c r="J46" s="217"/>
      <c r="K46" s="217"/>
      <c r="L46" s="217"/>
      <c r="M46" s="217"/>
      <c r="N46" s="217"/>
      <c r="O46" s="217"/>
      <c r="P46" s="217"/>
      <c r="Q46" s="217"/>
      <c r="R46" s="25">
        <v>0</v>
      </c>
      <c r="S46" s="217"/>
      <c r="T46" s="25">
        <v>0</v>
      </c>
      <c r="U46" s="25">
        <v>0</v>
      </c>
      <c r="V46" s="207">
        <f t="shared" si="10"/>
        <v>0</v>
      </c>
      <c r="W46" s="25">
        <v>0</v>
      </c>
      <c r="X46" s="207">
        <f t="shared" si="1"/>
        <v>0</v>
      </c>
      <c r="AB46" s="139"/>
      <c r="AC46" s="134"/>
    </row>
    <row r="47" spans="1:29" s="3" customFormat="1" ht="24.75" customHeight="1">
      <c r="A47" s="461" t="s">
        <v>1470</v>
      </c>
      <c r="B47" s="461"/>
      <c r="C47" s="461"/>
      <c r="D47" s="461"/>
      <c r="E47" s="461"/>
      <c r="F47" s="461"/>
      <c r="G47" s="204">
        <v>36</v>
      </c>
      <c r="H47" s="132"/>
      <c r="I47" s="217"/>
      <c r="J47" s="217"/>
      <c r="K47" s="217"/>
      <c r="L47" s="217"/>
      <c r="M47" s="217"/>
      <c r="N47" s="217"/>
      <c r="O47" s="217"/>
      <c r="P47" s="217"/>
      <c r="Q47" s="217"/>
      <c r="R47" s="217"/>
      <c r="S47" s="25">
        <v>0</v>
      </c>
      <c r="T47" s="25">
        <v>0</v>
      </c>
      <c r="U47" s="25">
        <v>0</v>
      </c>
      <c r="V47" s="207">
        <f t="shared" si="10"/>
        <v>0</v>
      </c>
      <c r="W47" s="25">
        <v>0</v>
      </c>
      <c r="X47" s="207">
        <f t="shared" si="1"/>
        <v>0</v>
      </c>
      <c r="AB47" s="139"/>
      <c r="AC47" s="134"/>
    </row>
    <row r="48" spans="1:29" s="3" customFormat="1" ht="24.75" customHeight="1">
      <c r="A48" s="461" t="s">
        <v>839</v>
      </c>
      <c r="B48" s="461"/>
      <c r="C48" s="461"/>
      <c r="D48" s="461"/>
      <c r="E48" s="461"/>
      <c r="F48" s="461"/>
      <c r="G48" s="204">
        <v>37</v>
      </c>
      <c r="H48" s="132"/>
      <c r="I48" s="217"/>
      <c r="J48" s="217"/>
      <c r="K48" s="217"/>
      <c r="L48" s="217"/>
      <c r="M48" s="217"/>
      <c r="N48" s="217"/>
      <c r="O48" s="25">
        <v>0</v>
      </c>
      <c r="P48" s="25">
        <v>0</v>
      </c>
      <c r="Q48" s="25">
        <v>0</v>
      </c>
      <c r="R48" s="25">
        <v>0</v>
      </c>
      <c r="S48" s="25">
        <v>0</v>
      </c>
      <c r="T48" s="25">
        <v>0</v>
      </c>
      <c r="U48" s="25">
        <v>0</v>
      </c>
      <c r="V48" s="207">
        <f t="shared" si="10"/>
        <v>0</v>
      </c>
      <c r="W48" s="25">
        <v>0</v>
      </c>
      <c r="X48" s="207">
        <f t="shared" si="1"/>
        <v>0</v>
      </c>
      <c r="AB48" s="139"/>
      <c r="AC48" s="134"/>
    </row>
    <row r="49" spans="1:28" ht="13.5" customHeight="1">
      <c r="A49" s="461" t="s">
        <v>825</v>
      </c>
      <c r="B49" s="461"/>
      <c r="C49" s="461"/>
      <c r="D49" s="461"/>
      <c r="E49" s="461"/>
      <c r="F49" s="461"/>
      <c r="G49" s="204">
        <v>38</v>
      </c>
      <c r="H49" s="132"/>
      <c r="I49" s="217"/>
      <c r="J49" s="217"/>
      <c r="K49" s="217"/>
      <c r="L49" s="217"/>
      <c r="M49" s="217"/>
      <c r="N49" s="217"/>
      <c r="O49" s="25">
        <v>0</v>
      </c>
      <c r="P49" s="25">
        <v>0</v>
      </c>
      <c r="Q49" s="25">
        <v>0</v>
      </c>
      <c r="R49" s="25">
        <v>0</v>
      </c>
      <c r="S49" s="25">
        <v>0</v>
      </c>
      <c r="T49" s="25">
        <v>0</v>
      </c>
      <c r="U49" s="25">
        <v>0</v>
      </c>
      <c r="V49" s="207">
        <f t="shared" si="10"/>
        <v>0</v>
      </c>
      <c r="W49" s="25">
        <v>0</v>
      </c>
      <c r="X49" s="207">
        <f t="shared" si="1"/>
        <v>0</v>
      </c>
      <c r="AB49" s="139"/>
    </row>
    <row r="50" spans="1:28" ht="13.5" customHeight="1">
      <c r="A50" s="461" t="s">
        <v>826</v>
      </c>
      <c r="B50" s="461"/>
      <c r="C50" s="461"/>
      <c r="D50" s="461"/>
      <c r="E50" s="461"/>
      <c r="F50" s="461"/>
      <c r="G50" s="204">
        <v>39</v>
      </c>
      <c r="H50" s="132"/>
      <c r="I50" s="25">
        <v>0</v>
      </c>
      <c r="J50" s="25">
        <v>0</v>
      </c>
      <c r="K50" s="25">
        <v>0</v>
      </c>
      <c r="L50" s="25">
        <v>0</v>
      </c>
      <c r="M50" s="25">
        <v>0</v>
      </c>
      <c r="N50" s="25">
        <v>0</v>
      </c>
      <c r="O50" s="25">
        <v>0</v>
      </c>
      <c r="P50" s="25">
        <v>0</v>
      </c>
      <c r="Q50" s="25">
        <v>0</v>
      </c>
      <c r="R50" s="25">
        <v>0</v>
      </c>
      <c r="S50" s="25">
        <v>0</v>
      </c>
      <c r="T50" s="25">
        <v>0</v>
      </c>
      <c r="U50" s="25">
        <v>0</v>
      </c>
      <c r="V50" s="207">
        <f t="shared" si="10"/>
        <v>0</v>
      </c>
      <c r="W50" s="25">
        <v>0</v>
      </c>
      <c r="X50" s="207">
        <f t="shared" si="1"/>
        <v>0</v>
      </c>
      <c r="AB50" s="139"/>
    </row>
    <row r="51" spans="1:28" ht="13.5" customHeight="1">
      <c r="A51" s="461" t="s">
        <v>827</v>
      </c>
      <c r="B51" s="461"/>
      <c r="C51" s="461"/>
      <c r="D51" s="461"/>
      <c r="E51" s="461"/>
      <c r="F51" s="461"/>
      <c r="G51" s="204">
        <v>40</v>
      </c>
      <c r="H51" s="132"/>
      <c r="I51" s="217"/>
      <c r="J51" s="217"/>
      <c r="K51" s="217"/>
      <c r="L51" s="217"/>
      <c r="M51" s="217"/>
      <c r="N51" s="217"/>
      <c r="O51" s="25">
        <v>0</v>
      </c>
      <c r="P51" s="25">
        <v>0</v>
      </c>
      <c r="Q51" s="25">
        <v>0</v>
      </c>
      <c r="R51" s="25">
        <v>0</v>
      </c>
      <c r="S51" s="25">
        <v>0</v>
      </c>
      <c r="T51" s="25">
        <v>0</v>
      </c>
      <c r="U51" s="25">
        <v>0</v>
      </c>
      <c r="V51" s="207">
        <f t="shared" si="10"/>
        <v>0</v>
      </c>
      <c r="W51" s="25">
        <v>0</v>
      </c>
      <c r="X51" s="207">
        <f t="shared" si="1"/>
        <v>0</v>
      </c>
      <c r="AB51" s="139"/>
    </row>
    <row r="52" spans="1:28" ht="24.75" customHeight="1">
      <c r="A52" s="461" t="s">
        <v>840</v>
      </c>
      <c r="B52" s="461"/>
      <c r="C52" s="461"/>
      <c r="D52" s="461"/>
      <c r="E52" s="461"/>
      <c r="F52" s="461"/>
      <c r="G52" s="204">
        <v>41</v>
      </c>
      <c r="H52" s="132"/>
      <c r="I52" s="25">
        <v>0</v>
      </c>
      <c r="J52" s="25">
        <v>0</v>
      </c>
      <c r="K52" s="25">
        <v>0</v>
      </c>
      <c r="L52" s="25">
        <v>0</v>
      </c>
      <c r="M52" s="25">
        <v>0</v>
      </c>
      <c r="N52" s="25">
        <v>0</v>
      </c>
      <c r="O52" s="25">
        <v>0</v>
      </c>
      <c r="P52" s="25">
        <v>0</v>
      </c>
      <c r="Q52" s="25">
        <v>0</v>
      </c>
      <c r="R52" s="25">
        <v>0</v>
      </c>
      <c r="S52" s="25">
        <v>0</v>
      </c>
      <c r="T52" s="25">
        <v>0</v>
      </c>
      <c r="U52" s="25">
        <v>0</v>
      </c>
      <c r="V52" s="207">
        <f t="shared" si="10"/>
        <v>0</v>
      </c>
      <c r="W52" s="25">
        <v>0</v>
      </c>
      <c r="X52" s="207">
        <f t="shared" si="1"/>
        <v>0</v>
      </c>
      <c r="AB52" s="139"/>
    </row>
    <row r="53" spans="1:31" ht="24.75" customHeight="1">
      <c r="A53" s="461" t="s">
        <v>829</v>
      </c>
      <c r="B53" s="461"/>
      <c r="C53" s="461"/>
      <c r="D53" s="461"/>
      <c r="E53" s="461"/>
      <c r="F53" s="461"/>
      <c r="G53" s="204">
        <v>42</v>
      </c>
      <c r="H53" s="132"/>
      <c r="I53" s="25">
        <v>0</v>
      </c>
      <c r="J53" s="25">
        <v>0</v>
      </c>
      <c r="K53" s="25">
        <v>0</v>
      </c>
      <c r="L53" s="25">
        <v>0</v>
      </c>
      <c r="M53" s="25">
        <v>0</v>
      </c>
      <c r="N53" s="25">
        <v>0</v>
      </c>
      <c r="O53" s="25">
        <v>0</v>
      </c>
      <c r="P53" s="25">
        <v>0</v>
      </c>
      <c r="Q53" s="25">
        <v>0</v>
      </c>
      <c r="R53" s="25">
        <v>0</v>
      </c>
      <c r="S53" s="25">
        <v>0</v>
      </c>
      <c r="T53" s="25">
        <v>0</v>
      </c>
      <c r="U53" s="25">
        <v>0</v>
      </c>
      <c r="V53" s="207">
        <f t="shared" si="10"/>
        <v>0</v>
      </c>
      <c r="W53" s="25">
        <v>0</v>
      </c>
      <c r="X53" s="207">
        <f t="shared" si="1"/>
        <v>0</v>
      </c>
      <c r="AE53" s="139"/>
    </row>
    <row r="54" spans="1:31" ht="24.75" customHeight="1">
      <c r="A54" s="461" t="s">
        <v>841</v>
      </c>
      <c r="B54" s="461"/>
      <c r="C54" s="461"/>
      <c r="D54" s="461"/>
      <c r="E54" s="461"/>
      <c r="F54" s="461"/>
      <c r="G54" s="204">
        <v>43</v>
      </c>
      <c r="H54" s="132"/>
      <c r="I54" s="25">
        <v>0</v>
      </c>
      <c r="J54" s="25">
        <v>0</v>
      </c>
      <c r="K54" s="25">
        <v>0</v>
      </c>
      <c r="L54" s="25">
        <v>0</v>
      </c>
      <c r="M54" s="25">
        <v>0</v>
      </c>
      <c r="N54" s="25">
        <v>0</v>
      </c>
      <c r="O54" s="25">
        <v>0</v>
      </c>
      <c r="P54" s="25">
        <v>0</v>
      </c>
      <c r="Q54" s="25">
        <v>0</v>
      </c>
      <c r="R54" s="25">
        <v>0</v>
      </c>
      <c r="S54" s="25">
        <v>0</v>
      </c>
      <c r="T54" s="25">
        <v>0</v>
      </c>
      <c r="U54" s="25">
        <v>0</v>
      </c>
      <c r="V54" s="207">
        <f t="shared" si="10"/>
        <v>0</v>
      </c>
      <c r="W54" s="25">
        <v>0</v>
      </c>
      <c r="X54" s="207">
        <f t="shared" si="1"/>
        <v>0</v>
      </c>
      <c r="AE54" s="139"/>
    </row>
    <row r="55" spans="1:24" ht="13.5" customHeight="1">
      <c r="A55" s="461" t="s">
        <v>831</v>
      </c>
      <c r="B55" s="461"/>
      <c r="C55" s="461"/>
      <c r="D55" s="461"/>
      <c r="E55" s="461"/>
      <c r="F55" s="461"/>
      <c r="G55" s="204">
        <v>44</v>
      </c>
      <c r="H55" s="132"/>
      <c r="I55" s="25">
        <v>0</v>
      </c>
      <c r="J55" s="25">
        <v>0</v>
      </c>
      <c r="K55" s="25">
        <v>0</v>
      </c>
      <c r="L55" s="25">
        <v>0</v>
      </c>
      <c r="M55" s="25">
        <v>0</v>
      </c>
      <c r="N55" s="25">
        <v>0</v>
      </c>
      <c r="O55" s="25">
        <v>0</v>
      </c>
      <c r="P55" s="25">
        <v>0</v>
      </c>
      <c r="Q55" s="25">
        <v>0</v>
      </c>
      <c r="R55" s="25">
        <v>0</v>
      </c>
      <c r="S55" s="25">
        <v>0</v>
      </c>
      <c r="T55" s="25">
        <v>0</v>
      </c>
      <c r="U55" s="25">
        <v>0</v>
      </c>
      <c r="V55" s="207">
        <f t="shared" si="10"/>
        <v>0</v>
      </c>
      <c r="W55" s="25">
        <v>0</v>
      </c>
      <c r="X55" s="207">
        <f t="shared" si="1"/>
        <v>0</v>
      </c>
    </row>
    <row r="56" spans="1:24" ht="13.5" customHeight="1">
      <c r="A56" s="461" t="s">
        <v>832</v>
      </c>
      <c r="B56" s="461"/>
      <c r="C56" s="461"/>
      <c r="D56" s="461"/>
      <c r="E56" s="461"/>
      <c r="F56" s="461"/>
      <c r="G56" s="204">
        <v>45</v>
      </c>
      <c r="H56" s="132"/>
      <c r="I56" s="25">
        <v>0</v>
      </c>
      <c r="J56" s="25">
        <v>0</v>
      </c>
      <c r="K56" s="25">
        <v>0</v>
      </c>
      <c r="L56" s="25">
        <v>0</v>
      </c>
      <c r="M56" s="25">
        <v>0</v>
      </c>
      <c r="N56" s="25">
        <v>0</v>
      </c>
      <c r="O56" s="25">
        <v>0</v>
      </c>
      <c r="P56" s="25">
        <v>0</v>
      </c>
      <c r="Q56" s="25">
        <v>0</v>
      </c>
      <c r="R56" s="25">
        <v>0</v>
      </c>
      <c r="S56" s="25">
        <v>0</v>
      </c>
      <c r="T56" s="25">
        <v>0</v>
      </c>
      <c r="U56" s="25">
        <v>0</v>
      </c>
      <c r="V56" s="207">
        <f t="shared" si="10"/>
        <v>0</v>
      </c>
      <c r="W56" s="25">
        <v>0</v>
      </c>
      <c r="X56" s="207">
        <f t="shared" si="1"/>
        <v>0</v>
      </c>
    </row>
    <row r="57" spans="1:24" ht="13.5" customHeight="1">
      <c r="A57" s="461" t="s">
        <v>833</v>
      </c>
      <c r="B57" s="461"/>
      <c r="C57" s="461"/>
      <c r="D57" s="461"/>
      <c r="E57" s="461"/>
      <c r="F57" s="461"/>
      <c r="G57" s="204">
        <v>46</v>
      </c>
      <c r="H57" s="132"/>
      <c r="I57" s="25">
        <v>0</v>
      </c>
      <c r="J57" s="25">
        <v>0</v>
      </c>
      <c r="K57" s="25">
        <v>0</v>
      </c>
      <c r="L57" s="25">
        <v>0</v>
      </c>
      <c r="M57" s="25">
        <v>0</v>
      </c>
      <c r="N57" s="25">
        <v>0</v>
      </c>
      <c r="O57" s="25">
        <v>0</v>
      </c>
      <c r="P57" s="25">
        <v>0</v>
      </c>
      <c r="Q57" s="25">
        <v>0</v>
      </c>
      <c r="R57" s="25">
        <v>0</v>
      </c>
      <c r="S57" s="25">
        <v>0</v>
      </c>
      <c r="T57" s="25">
        <v>0</v>
      </c>
      <c r="U57" s="25">
        <v>0</v>
      </c>
      <c r="V57" s="207">
        <f t="shared" si="10"/>
        <v>0</v>
      </c>
      <c r="W57" s="25">
        <v>0</v>
      </c>
      <c r="X57" s="207">
        <f t="shared" si="1"/>
        <v>0</v>
      </c>
    </row>
    <row r="58" spans="1:29" s="3" customFormat="1" ht="13.5" customHeight="1">
      <c r="A58" s="461" t="s">
        <v>834</v>
      </c>
      <c r="B58" s="461"/>
      <c r="C58" s="461"/>
      <c r="D58" s="461"/>
      <c r="E58" s="461"/>
      <c r="F58" s="461"/>
      <c r="G58" s="204">
        <v>47</v>
      </c>
      <c r="H58" s="132"/>
      <c r="I58" s="25">
        <v>0</v>
      </c>
      <c r="J58" s="25">
        <v>0</v>
      </c>
      <c r="K58" s="25">
        <v>0</v>
      </c>
      <c r="L58" s="25">
        <v>0</v>
      </c>
      <c r="M58" s="25">
        <v>0</v>
      </c>
      <c r="N58" s="25">
        <v>0</v>
      </c>
      <c r="O58" s="25">
        <v>0</v>
      </c>
      <c r="P58" s="25">
        <v>0</v>
      </c>
      <c r="Q58" s="25">
        <v>0</v>
      </c>
      <c r="R58" s="25">
        <v>0</v>
      </c>
      <c r="S58" s="25">
        <v>0</v>
      </c>
      <c r="T58" s="25">
        <v>0</v>
      </c>
      <c r="U58" s="25">
        <v>0</v>
      </c>
      <c r="V58" s="207">
        <f t="shared" si="10"/>
        <v>0</v>
      </c>
      <c r="W58" s="25">
        <v>0</v>
      </c>
      <c r="X58" s="207">
        <f t="shared" si="1"/>
        <v>0</v>
      </c>
      <c r="AB58" s="139"/>
      <c r="AC58" s="134"/>
    </row>
    <row r="59" spans="1:29" s="3" customFormat="1" ht="13.5" customHeight="1">
      <c r="A59" s="461" t="s">
        <v>835</v>
      </c>
      <c r="B59" s="461"/>
      <c r="C59" s="461"/>
      <c r="D59" s="461"/>
      <c r="E59" s="461"/>
      <c r="F59" s="461"/>
      <c r="G59" s="204">
        <v>48</v>
      </c>
      <c r="H59" s="132"/>
      <c r="I59" s="25">
        <v>0</v>
      </c>
      <c r="J59" s="25">
        <v>0</v>
      </c>
      <c r="K59" s="25">
        <v>0</v>
      </c>
      <c r="L59" s="25">
        <v>0</v>
      </c>
      <c r="M59" s="25">
        <v>0</v>
      </c>
      <c r="N59" s="25">
        <v>0</v>
      </c>
      <c r="O59" s="25">
        <v>0</v>
      </c>
      <c r="P59" s="25">
        <v>0</v>
      </c>
      <c r="Q59" s="25">
        <v>0</v>
      </c>
      <c r="R59" s="25">
        <v>0</v>
      </c>
      <c r="S59" s="25">
        <v>0</v>
      </c>
      <c r="T59" s="25">
        <v>0</v>
      </c>
      <c r="U59" s="25">
        <v>0</v>
      </c>
      <c r="V59" s="207">
        <f t="shared" si="10"/>
        <v>0</v>
      </c>
      <c r="W59" s="25">
        <v>0</v>
      </c>
      <c r="X59" s="207">
        <f t="shared" si="1"/>
        <v>0</v>
      </c>
      <c r="AB59" s="139"/>
      <c r="AC59" s="134"/>
    </row>
    <row r="60" spans="1:29" s="3" customFormat="1" ht="13.5" customHeight="1">
      <c r="A60" s="462" t="s">
        <v>842</v>
      </c>
      <c r="B60" s="462"/>
      <c r="C60" s="462"/>
      <c r="D60" s="462"/>
      <c r="E60" s="462"/>
      <c r="F60" s="462"/>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4" t="s">
        <v>1688</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AB61" s="138"/>
      <c r="AC61" s="139"/>
      <c r="AD61" s="138"/>
      <c r="AE61" s="139"/>
    </row>
    <row r="62" spans="1:28" ht="25.5" customHeight="1">
      <c r="A62" s="463" t="s">
        <v>2560</v>
      </c>
      <c r="B62" s="463"/>
      <c r="C62" s="463"/>
      <c r="D62" s="463"/>
      <c r="E62" s="463"/>
      <c r="F62" s="463"/>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3" t="s">
        <v>2244</v>
      </c>
      <c r="B63" s="463"/>
      <c r="C63" s="463"/>
      <c r="D63" s="463"/>
      <c r="E63" s="463"/>
      <c r="F63" s="463"/>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60" t="s">
        <v>2561</v>
      </c>
      <c r="B64" s="460"/>
      <c r="C64" s="460"/>
      <c r="D64" s="460"/>
      <c r="E64" s="460"/>
      <c r="F64" s="460"/>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Admin</cp:lastModifiedBy>
  <cp:lastPrinted>2020-06-30T16:18:35Z</cp:lastPrinted>
  <dcterms:created xsi:type="dcterms:W3CDTF">2008-10-17T11:51:54Z</dcterms:created>
  <dcterms:modified xsi:type="dcterms:W3CDTF">2020-06-30T20:37:10Z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