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<sst xmlns="http://schemas.openxmlformats.org/spreadsheetml/2006/main" count="401" uniqueCount="350">
  <si>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</si>
  <si>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</si>
  <si>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</si>
  <si>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</si>
  <si>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</si>
  <si>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</si>
  <si>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</si>
  <si>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</si>
  <si>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</si>
  <si>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</si>
  <si>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</si>
  <si>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</si>
  <si>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</si>
  <si>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</si>
  <si>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</si>
  <si>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</si>
  <si>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</si>
  <si>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</si>
  <si>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</si>
  <si>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</si>
  <si>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</si>
  <si>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</si>
  <si>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</si>
  <si>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</si>
  <si>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</si>
  <si>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</si>
  <si>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</si>
  <si>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</si>
  <si>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</si>
  <si>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</si>
  <si>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</si>
  <si>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</si>
  <si>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</si>
  <si>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</si>
  <si>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</si>
  <si>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</si>
  <si>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</si>
  <si>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</si>
  <si>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</si>
  <si>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</si>
  <si>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</si>
  <si>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</si>
  <si>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</si>
  <si>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</si>
  <si>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</si>
  <si>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</si>
  <si>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</si>
  <si>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</si>
  <si>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</si>
  <si>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</si>
  <si>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</si>
  <si>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</si>
  <si>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</si>
  <si>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</si>
  <si>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</si>
  <si>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</si>
  <si>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</si>
  <si>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</si>
  <si>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</si>
  <si>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</si>
  <si>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</si>
  <si>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</si>
  <si>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</si>
  <si>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</si>
  <si>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</si>
  <si>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</si>
  <si>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</si>
  <si>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</si>
  <si>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</si>
  <si>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</si>
  <si>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</si>
  <si>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</si>
  <si>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</si>
  <si>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</si>
  <si>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</si>
  <si>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</si>
  <si>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</si>
  <si>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</si>
  <si>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</si>
  <si>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</si>
  <si>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</si>
  <si>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</si>
  <si>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</si>
  <si>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</si>
  <si>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</si>
  <si>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</si>
  <si>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</si>
  <si>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</si>
  <si>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</si>
  <si>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</si>
  <si>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</si>
  <si>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</si>
  <si>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</si>
  <si>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</si>
  <si>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</si>
  <si>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</si>
  <si>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</si>
  <si>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</si>
  <si>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</si>
  <si>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</si>
  <si>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</si>
  <si>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</si>
  <si>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</si>
  <si>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</si>
  <si>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</si>
  <si>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</si>
  <si>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</si>
  <si>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</si>
  <si>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</si>
  <si>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</si>
  <si>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</si>
  <si>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</si>
  <si>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</si>
  <si>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</si>
  <si>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</si>
  <si>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</si>
  <si>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</si>
  <si>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</si>
  <si>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</si>
  <si>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</si>
  <si>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</si>
  <si>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</si>
  <si>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</si>
  <si>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</si>
  <si>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</si>
  <si>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</si>
  <si>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</si>
  <si>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</si>
  <si>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</si>
  <si>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</si>
  <si>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</si>
  <si>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</si>
  <si>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</si>
  <si>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</si>
  <si>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</si>
  <si>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</si>
  <si>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</si>
  <si>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</si>
  <si>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</si>
  <si>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</si>
  <si>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</si>
  <si>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</si>
  <si>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</si>
  <si>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</si>
  <si>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</si>
  <si>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</si>
  <si>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</si>
  <si>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</si>
  <si>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</si>
  <si>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</si>
  <si>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</si>
  <si>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</si>
  <si>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</si>
  <si>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</si>
  <si>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</si>
  <si>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</si>
  <si>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</si>
  <si>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</si>
  <si>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</si>
  <si>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</si>
  <si>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</si>
  <si>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</si>
  <si>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</si>
  <si>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</si>
  <si>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</si>
  <si>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</si>
  <si>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</si>
  <si>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</si>
  <si>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</si>
  <si>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</si>
  <si>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</si>
  <si>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</si>
  <si>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</si>
  <si>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</si>
  <si>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</si>
  <si>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</si>
  <si>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</si>
  <si>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</si>
  <si>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</si>
  <si>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</si>
  <si>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</si>
  <si>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</si>
  <si>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</si>
  <si>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</si>
  <si>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</si>
  <si>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</si>
  <si>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</si>
  <si>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</si>
  <si>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</si>
  <si>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</si>
  <si>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</si>
  <si>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</si>
  <si>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</si>
  <si>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</si>
  <si>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</si>
  <si>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</si>
  <si>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</si>
  <si>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</si>
  <si>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</si>
  <si>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</si>
  <si>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</si>
  <si>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</si>
  <si>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</si>
  <si>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</si>
  <si>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</si>
  <si>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</si>
  <si>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</si>
  <si>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</si>
  <si>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</si>
  <si>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</si>
  <si>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</si>
  <si>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</si>
  <si>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</si>
  <si>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</si>
  <si>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</si>
  <si>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</si>
  <si>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</si>
  <si>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</si>
  <si>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</si>
  <si>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</si>
  <si>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</si>
  <si>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</si>
  <si>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</si>
  <si>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</si>
  <si>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</si>
  <si>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</si>
  <si>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</si>
  <si>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</si>
  <si>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</si>
  <si>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</si>
  <si>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</si>
  <si>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</si>
  <si>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</si>
  <si>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</si>
  <si>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</si>
  <si>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</si>
  <si>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</si>
  <si>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</si>
  <si>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</si>
  <si>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</si>
  <si>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</si>
  <si>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</si>
  <si>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</si>
  <si>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</si>
  <si>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</si>
  <si>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</si>
  <si>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</si>
  <si>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</si>
  <si>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</si>
  <si>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</si>
  <si>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</si>
  <si>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</si>
  <si>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</si>
  <si>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</si>
  <si>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</si>
  <si>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</si>
  <si>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</si>
  <si>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</si>
  <si>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</si>
  <si>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</si>
  <si>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</si>
  <si>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</si>
  <si>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</si>
  <si>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</si>
  <si>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</si>
  <si>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</si>
  <si>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</si>
  <si>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</si>
  <si>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</si>
  <si>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</si>
  <si>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</si>
  <si>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</si>
  <si>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</si>
  <si>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</si>
  <si>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</si>
  <si>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</si>
  <si>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</si>
  <si>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</si>
  <si>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</si>
  <si>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</si>
  <si>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</si>
  <si>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</si>
  <si>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</si>
  <si>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</si>
  <si>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</si>
  <si>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</si>
  <si>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</si>
  <si>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</si>
  <si>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</si>
  <si>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</si>
  <si>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</si>
  <si>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</si>
  <si>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</si>
  <si>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</si>
  <si>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</si>
  <si>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</si>
  <si>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</si>
  <si>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</si>
  <si>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</si>
  <si>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</si>
  <si>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</si>
  <si>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</si>
  <si>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</si>
  <si>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</si>
  <si>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</si>
  <si>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</si>
  <si>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</si>
  <si>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</si>
  <si>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</si>
  <si>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</si>
  <si>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</si>
  <si>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</si>
  <si>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</si>
  <si>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</si>
  <si>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</si>
  <si>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</si>
  <si>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</si>
  <si>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</si>
  <si>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</si>
  <si>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</si>
  <si>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</si>
  <si>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</si>
  <si>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</si>
  <si>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03203077</t>
  </si>
  <si>
    <t>040016469</t>
  </si>
  <si>
    <t>07538718933</t>
  </si>
  <si>
    <t>G R U P A   ISTRA PULA</t>
  </si>
  <si>
    <t>PULA</t>
  </si>
  <si>
    <t>NARODNI TRG 10</t>
  </si>
  <si>
    <t>istra@istra-trgovina.hr</t>
  </si>
  <si>
    <t>www.istra-trgovina.hr</t>
  </si>
  <si>
    <t>Pula</t>
  </si>
  <si>
    <t>ISTARSKA</t>
  </si>
  <si>
    <t>4690</t>
  </si>
  <si>
    <t>DA</t>
  </si>
  <si>
    <t>PULJANKA-INŽENJERING D.O.O. PULA</t>
  </si>
  <si>
    <t>PULA, DOBRICHEVA 7</t>
  </si>
  <si>
    <t>01475169</t>
  </si>
  <si>
    <t>B-VODA D.O.O. BUZET</t>
  </si>
  <si>
    <t>BUZET, SV.IVAN 6</t>
  </si>
  <si>
    <t>02065231</t>
  </si>
  <si>
    <t>MEDEN ZDENKA</t>
  </si>
  <si>
    <t>052535101</t>
  </si>
  <si>
    <t>052535125</t>
  </si>
  <si>
    <t>zdenka.meden@istra-trgovina.hr</t>
  </si>
  <si>
    <t>VENCL ZORAN</t>
  </si>
  <si>
    <t>stanje na dan 30.06.2011.</t>
  </si>
  <si>
    <t xml:space="preserve">Obveznik: G R U P A    ISTRA PULA </t>
  </si>
  <si>
    <t>u razdoblju 01.01.2011. do 30.06.2011.</t>
  </si>
  <si>
    <t>Obveznik: G R U P A   ISTRA PULA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</si>
</sst>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16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 vertical="center"/>
      <protection/>
    </xf>
    <xf numFmtId="0" fontId="3" fillId="0" borderId="21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20" xfId="22" applyFont="1" applyFill="1" applyBorder="1" applyAlignment="1">
      <alignment horizontal="left"/>
      <protection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tra@istra-trgovina.hr" TargetMode="External" /><Relationship Id="rId2" Type="http://schemas.openxmlformats.org/officeDocument/2006/relationships/hyperlink" Target="http://www.istra-trgovina.hr/" TargetMode="External" /><Relationship Id="rId3" Type="http://schemas.openxmlformats.org/officeDocument/2006/relationships/hyperlink" Target="mailto:zdenka.meden@istra-trgovi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3">
      <selection activeCell="H31" sqref="H3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5" t="s">
        <v>248</v>
      </c>
      <c r="B1" s="186"/>
      <c r="C1" s="18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63" t="s">
        <v>249</v>
      </c>
      <c r="B2" s="164"/>
      <c r="C2" s="164"/>
      <c r="D2" s="165"/>
      <c r="E2" s="122">
        <v>40544</v>
      </c>
      <c r="F2" s="12"/>
      <c r="G2" s="13" t="s">
        <v>250</v>
      </c>
      <c r="H2" s="122">
        <v>40724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66" t="s">
        <v>317</v>
      </c>
      <c r="B4" s="167"/>
      <c r="C4" s="167"/>
      <c r="D4" s="167"/>
      <c r="E4" s="167"/>
      <c r="F4" s="167"/>
      <c r="G4" s="167"/>
      <c r="H4" s="167"/>
      <c r="I4" s="168"/>
      <c r="J4" s="10"/>
      <c r="K4" s="10"/>
      <c r="L4" s="10"/>
    </row>
    <row r="5" spans="1:12" ht="12.75">
      <c r="A5" s="90"/>
      <c r="B5" s="17"/>
      <c r="C5" s="17"/>
      <c r="D5" s="17"/>
      <c r="E5" s="18"/>
      <c r="F5" s="91"/>
      <c r="G5" s="19"/>
      <c r="H5" s="20"/>
      <c r="I5" s="92"/>
      <c r="J5" s="10"/>
      <c r="K5" s="10"/>
      <c r="L5" s="10"/>
    </row>
    <row r="6" spans="1:12" ht="12.75">
      <c r="A6" s="169" t="s">
        <v>251</v>
      </c>
      <c r="B6" s="170"/>
      <c r="C6" s="161" t="s">
        <v>323</v>
      </c>
      <c r="D6" s="162"/>
      <c r="E6" s="30"/>
      <c r="F6" s="30"/>
      <c r="G6" s="30"/>
      <c r="H6" s="30"/>
      <c r="I6" s="93"/>
      <c r="J6" s="10"/>
      <c r="K6" s="10"/>
      <c r="L6" s="10"/>
    </row>
    <row r="7" spans="1:12" ht="12.75">
      <c r="A7" s="94"/>
      <c r="B7" s="23"/>
      <c r="C7" s="16"/>
      <c r="D7" s="16"/>
      <c r="E7" s="30"/>
      <c r="F7" s="30"/>
      <c r="G7" s="30"/>
      <c r="H7" s="30"/>
      <c r="I7" s="93"/>
      <c r="J7" s="10"/>
      <c r="K7" s="10"/>
      <c r="L7" s="10"/>
    </row>
    <row r="8" spans="1:12" ht="12.75">
      <c r="A8" s="171" t="s">
        <v>252</v>
      </c>
      <c r="B8" s="172"/>
      <c r="C8" s="161" t="s">
        <v>324</v>
      </c>
      <c r="D8" s="162"/>
      <c r="E8" s="30"/>
      <c r="F8" s="30"/>
      <c r="G8" s="30"/>
      <c r="H8" s="30"/>
      <c r="I8" s="95"/>
      <c r="J8" s="10"/>
      <c r="K8" s="10"/>
      <c r="L8" s="10"/>
    </row>
    <row r="9" spans="1:12" ht="12.75">
      <c r="A9" s="96"/>
      <c r="B9" s="51"/>
      <c r="C9" s="21"/>
      <c r="D9" s="27"/>
      <c r="E9" s="16"/>
      <c r="F9" s="16"/>
      <c r="G9" s="16"/>
      <c r="H9" s="16"/>
      <c r="I9" s="95"/>
      <c r="J9" s="10"/>
      <c r="K9" s="10"/>
      <c r="L9" s="10"/>
    </row>
    <row r="10" spans="1:12" ht="12.75">
      <c r="A10" s="158" t="s">
        <v>253</v>
      </c>
      <c r="B10" s="159"/>
      <c r="C10" s="161" t="s">
        <v>325</v>
      </c>
      <c r="D10" s="16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60"/>
      <c r="B11" s="15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9" t="s">
        <v>254</v>
      </c>
      <c r="B12" s="170"/>
      <c r="C12" s="173" t="s">
        <v>326</v>
      </c>
      <c r="D12" s="174"/>
      <c r="E12" s="174"/>
      <c r="F12" s="174"/>
      <c r="G12" s="174"/>
      <c r="H12" s="174"/>
      <c r="I12" s="175"/>
      <c r="J12" s="10"/>
      <c r="K12" s="10"/>
      <c r="L12" s="10"/>
    </row>
    <row r="13" spans="1:12" ht="12.75">
      <c r="A13" s="94"/>
      <c r="B13" s="23"/>
      <c r="C13" s="22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9" t="s">
        <v>255</v>
      </c>
      <c r="B14" s="170"/>
      <c r="C14" s="176">
        <v>52100</v>
      </c>
      <c r="D14" s="177"/>
      <c r="E14" s="16"/>
      <c r="F14" s="173" t="s">
        <v>327</v>
      </c>
      <c r="G14" s="174"/>
      <c r="H14" s="174"/>
      <c r="I14" s="175"/>
      <c r="J14" s="10"/>
      <c r="K14" s="10"/>
      <c r="L14" s="10"/>
    </row>
    <row r="15" spans="1:12" ht="12.75">
      <c r="A15" s="94"/>
      <c r="B15" s="23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9" t="s">
        <v>256</v>
      </c>
      <c r="B16" s="170"/>
      <c r="C16" s="173" t="s">
        <v>328</v>
      </c>
      <c r="D16" s="174"/>
      <c r="E16" s="174"/>
      <c r="F16" s="174"/>
      <c r="G16" s="174"/>
      <c r="H16" s="174"/>
      <c r="I16" s="175"/>
      <c r="J16" s="10"/>
      <c r="K16" s="10"/>
      <c r="L16" s="10"/>
    </row>
    <row r="17" spans="1:12" ht="12.75">
      <c r="A17" s="94"/>
      <c r="B17" s="23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9" t="s">
        <v>257</v>
      </c>
      <c r="B18" s="170"/>
      <c r="C18" s="178" t="s">
        <v>329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94"/>
      <c r="B19" s="23"/>
      <c r="C19" s="22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9" t="s">
        <v>258</v>
      </c>
      <c r="B20" s="170"/>
      <c r="C20" s="178" t="s">
        <v>330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94"/>
      <c r="B21" s="23"/>
      <c r="C21" s="22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9" t="s">
        <v>259</v>
      </c>
      <c r="B22" s="170"/>
      <c r="C22" s="123">
        <v>359</v>
      </c>
      <c r="D22" s="173" t="s">
        <v>331</v>
      </c>
      <c r="E22" s="181"/>
      <c r="F22" s="152"/>
      <c r="G22" s="169"/>
      <c r="H22" s="153"/>
      <c r="I22" s="97"/>
      <c r="J22" s="10"/>
      <c r="K22" s="10"/>
      <c r="L22" s="10"/>
    </row>
    <row r="23" spans="1:12" ht="12.75">
      <c r="A23" s="94"/>
      <c r="B23" s="23"/>
      <c r="C23" s="16"/>
      <c r="D23" s="25"/>
      <c r="E23" s="25"/>
      <c r="F23" s="25"/>
      <c r="G23" s="25"/>
      <c r="H23" s="16"/>
      <c r="I23" s="95"/>
      <c r="J23" s="10"/>
      <c r="K23" s="10"/>
      <c r="L23" s="10"/>
    </row>
    <row r="24" spans="1:12" ht="12.75">
      <c r="A24" s="169" t="s">
        <v>260</v>
      </c>
      <c r="B24" s="170"/>
      <c r="C24" s="123">
        <v>18</v>
      </c>
      <c r="D24" s="173" t="s">
        <v>332</v>
      </c>
      <c r="E24" s="181"/>
      <c r="F24" s="181"/>
      <c r="G24" s="152"/>
      <c r="H24" s="52" t="s">
        <v>261</v>
      </c>
      <c r="I24" s="124">
        <f>160+8</f>
        <v>168</v>
      </c>
      <c r="J24" s="10"/>
      <c r="K24" s="10"/>
      <c r="L24" s="10"/>
    </row>
    <row r="25" spans="1:12" ht="12.75">
      <c r="A25" s="94"/>
      <c r="B25" s="23"/>
      <c r="C25" s="16"/>
      <c r="D25" s="25"/>
      <c r="E25" s="25"/>
      <c r="F25" s="25"/>
      <c r="G25" s="23"/>
      <c r="H25" s="23" t="s">
        <v>318</v>
      </c>
      <c r="I25" s="98"/>
      <c r="J25" s="10"/>
      <c r="K25" s="10"/>
      <c r="L25" s="10"/>
    </row>
    <row r="26" spans="1:12" ht="12.75">
      <c r="A26" s="169" t="s">
        <v>262</v>
      </c>
      <c r="B26" s="170"/>
      <c r="C26" s="125" t="s">
        <v>334</v>
      </c>
      <c r="D26" s="26"/>
      <c r="E26" s="99"/>
      <c r="F26" s="100"/>
      <c r="G26" s="154" t="s">
        <v>263</v>
      </c>
      <c r="H26" s="170"/>
      <c r="I26" s="126" t="s">
        <v>333</v>
      </c>
      <c r="J26" s="10"/>
      <c r="K26" s="10"/>
      <c r="L26" s="10"/>
    </row>
    <row r="27" spans="1:12" ht="12.75">
      <c r="A27" s="94"/>
      <c r="B27" s="23"/>
      <c r="C27" s="16"/>
      <c r="D27" s="100"/>
      <c r="E27" s="100"/>
      <c r="F27" s="100"/>
      <c r="G27" s="100"/>
      <c r="H27" s="16"/>
      <c r="I27" s="101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49" t="s">
        <v>265</v>
      </c>
      <c r="F28" s="150"/>
      <c r="G28" s="150"/>
      <c r="H28" s="151" t="s">
        <v>266</v>
      </c>
      <c r="I28" s="148"/>
      <c r="J28" s="10"/>
      <c r="K28" s="10"/>
      <c r="L28" s="10"/>
    </row>
    <row r="29" spans="1:12" ht="12.75">
      <c r="A29" s="102"/>
      <c r="B29" s="99"/>
      <c r="C29" s="99"/>
      <c r="D29" s="27"/>
      <c r="E29" s="16"/>
      <c r="F29" s="16"/>
      <c r="G29" s="16"/>
      <c r="H29" s="28"/>
      <c r="I29" s="101"/>
      <c r="J29" s="10"/>
      <c r="K29" s="10"/>
      <c r="L29" s="10"/>
    </row>
    <row r="30" spans="1:12" ht="12.75">
      <c r="A30" s="145" t="s">
        <v>335</v>
      </c>
      <c r="B30" s="146"/>
      <c r="C30" s="146"/>
      <c r="D30" s="147"/>
      <c r="E30" s="145" t="s">
        <v>336</v>
      </c>
      <c r="F30" s="146"/>
      <c r="G30" s="146"/>
      <c r="H30" s="161" t="s">
        <v>337</v>
      </c>
      <c r="I30" s="162"/>
      <c r="J30" s="10"/>
      <c r="K30" s="10"/>
      <c r="L30" s="10"/>
    </row>
    <row r="31" spans="1:12" ht="12.75">
      <c r="A31" s="94"/>
      <c r="B31" s="23"/>
      <c r="C31" s="22"/>
      <c r="D31" s="137"/>
      <c r="E31" s="137"/>
      <c r="F31" s="137"/>
      <c r="G31" s="138"/>
      <c r="H31" s="16"/>
      <c r="I31" s="103"/>
      <c r="J31" s="10"/>
      <c r="K31" s="10"/>
      <c r="L31" s="10"/>
    </row>
    <row r="32" spans="1:12" ht="12.75">
      <c r="A32" s="145" t="s">
        <v>338</v>
      </c>
      <c r="B32" s="146"/>
      <c r="C32" s="146"/>
      <c r="D32" s="147"/>
      <c r="E32" s="145" t="s">
        <v>339</v>
      </c>
      <c r="F32" s="146"/>
      <c r="G32" s="146"/>
      <c r="H32" s="161" t="s">
        <v>340</v>
      </c>
      <c r="I32" s="162"/>
      <c r="J32" s="10"/>
      <c r="K32" s="10"/>
      <c r="L32" s="10"/>
    </row>
    <row r="33" spans="1:12" ht="12.75">
      <c r="A33" s="94"/>
      <c r="B33" s="23"/>
      <c r="C33" s="22"/>
      <c r="D33" s="29"/>
      <c r="E33" s="29"/>
      <c r="F33" s="29"/>
      <c r="G33" s="30"/>
      <c r="H33" s="16"/>
      <c r="I33" s="104"/>
      <c r="J33" s="10"/>
      <c r="K33" s="10"/>
      <c r="L33" s="10"/>
    </row>
    <row r="34" spans="1:12" ht="12.75">
      <c r="A34" s="145"/>
      <c r="B34" s="146"/>
      <c r="C34" s="146"/>
      <c r="D34" s="147"/>
      <c r="E34" s="145"/>
      <c r="F34" s="146"/>
      <c r="G34" s="146"/>
      <c r="H34" s="161"/>
      <c r="I34" s="162"/>
      <c r="J34" s="10"/>
      <c r="K34" s="10"/>
      <c r="L34" s="10"/>
    </row>
    <row r="35" spans="1:12" ht="12.75">
      <c r="A35" s="94"/>
      <c r="B35" s="23"/>
      <c r="C35" s="22"/>
      <c r="D35" s="29"/>
      <c r="E35" s="29"/>
      <c r="F35" s="29"/>
      <c r="G35" s="30"/>
      <c r="H35" s="16"/>
      <c r="I35" s="104"/>
      <c r="J35" s="10"/>
      <c r="K35" s="10"/>
      <c r="L35" s="10"/>
    </row>
    <row r="36" spans="1:12" ht="12.75">
      <c r="A36" s="145"/>
      <c r="B36" s="146"/>
      <c r="C36" s="146"/>
      <c r="D36" s="147"/>
      <c r="E36" s="145"/>
      <c r="F36" s="146"/>
      <c r="G36" s="146"/>
      <c r="H36" s="161"/>
      <c r="I36" s="162"/>
      <c r="J36" s="10"/>
      <c r="K36" s="10"/>
      <c r="L36" s="10"/>
    </row>
    <row r="37" spans="1:12" ht="12.75">
      <c r="A37" s="105"/>
      <c r="B37" s="31"/>
      <c r="C37" s="139"/>
      <c r="D37" s="140"/>
      <c r="E37" s="16"/>
      <c r="F37" s="139"/>
      <c r="G37" s="140"/>
      <c r="H37" s="16"/>
      <c r="I37" s="95"/>
      <c r="J37" s="10"/>
      <c r="K37" s="10"/>
      <c r="L37" s="10"/>
    </row>
    <row r="38" spans="1:12" ht="12.75">
      <c r="A38" s="145"/>
      <c r="B38" s="146"/>
      <c r="C38" s="146"/>
      <c r="D38" s="147"/>
      <c r="E38" s="145"/>
      <c r="F38" s="146"/>
      <c r="G38" s="146"/>
      <c r="H38" s="161"/>
      <c r="I38" s="162"/>
      <c r="J38" s="10"/>
      <c r="K38" s="10"/>
      <c r="L38" s="10"/>
    </row>
    <row r="39" spans="1:12" ht="12.75">
      <c r="A39" s="105"/>
      <c r="B39" s="31"/>
      <c r="C39" s="32"/>
      <c r="D39" s="33"/>
      <c r="E39" s="16"/>
      <c r="F39" s="32"/>
      <c r="G39" s="33"/>
      <c r="H39" s="16"/>
      <c r="I39" s="95"/>
      <c r="J39" s="10"/>
      <c r="K39" s="10"/>
      <c r="L39" s="10"/>
    </row>
    <row r="40" spans="1:12" ht="12.75">
      <c r="A40" s="145"/>
      <c r="B40" s="146"/>
      <c r="C40" s="146"/>
      <c r="D40" s="147"/>
      <c r="E40" s="145"/>
      <c r="F40" s="146"/>
      <c r="G40" s="146"/>
      <c r="H40" s="161"/>
      <c r="I40" s="162"/>
      <c r="J40" s="10"/>
      <c r="K40" s="10"/>
      <c r="L40" s="10"/>
    </row>
    <row r="41" spans="1:12" ht="12.75">
      <c r="A41" s="127"/>
      <c r="B41" s="34"/>
      <c r="C41" s="34"/>
      <c r="D41" s="34"/>
      <c r="E41" s="24"/>
      <c r="F41" s="128"/>
      <c r="G41" s="128"/>
      <c r="H41" s="129"/>
      <c r="I41" s="106"/>
      <c r="J41" s="10"/>
      <c r="K41" s="10"/>
      <c r="L41" s="10"/>
    </row>
    <row r="42" spans="1:12" ht="12.75">
      <c r="A42" s="105"/>
      <c r="B42" s="31"/>
      <c r="C42" s="32"/>
      <c r="D42" s="33"/>
      <c r="E42" s="16"/>
      <c r="F42" s="32"/>
      <c r="G42" s="33"/>
      <c r="H42" s="16"/>
      <c r="I42" s="95"/>
      <c r="J42" s="10"/>
      <c r="K42" s="10"/>
      <c r="L42" s="10"/>
    </row>
    <row r="43" spans="1:12" ht="12.75">
      <c r="A43" s="107"/>
      <c r="B43" s="35"/>
      <c r="C43" s="35"/>
      <c r="D43" s="21"/>
      <c r="E43" s="21"/>
      <c r="F43" s="35"/>
      <c r="G43" s="21"/>
      <c r="H43" s="21"/>
      <c r="I43" s="108"/>
      <c r="J43" s="10"/>
      <c r="K43" s="10"/>
      <c r="L43" s="10"/>
    </row>
    <row r="44" spans="1:12" ht="12.75">
      <c r="A44" s="158" t="s">
        <v>267</v>
      </c>
      <c r="B44" s="141"/>
      <c r="C44" s="161"/>
      <c r="D44" s="162"/>
      <c r="E44" s="27"/>
      <c r="F44" s="173"/>
      <c r="G44" s="146"/>
      <c r="H44" s="146"/>
      <c r="I44" s="147"/>
      <c r="J44" s="10"/>
      <c r="K44" s="10"/>
      <c r="L44" s="10"/>
    </row>
    <row r="45" spans="1:12" ht="12.75">
      <c r="A45" s="105"/>
      <c r="B45" s="31"/>
      <c r="C45" s="139"/>
      <c r="D45" s="140"/>
      <c r="E45" s="16"/>
      <c r="F45" s="139"/>
      <c r="G45" s="142"/>
      <c r="H45" s="36"/>
      <c r="I45" s="109"/>
      <c r="J45" s="10"/>
      <c r="K45" s="10"/>
      <c r="L45" s="10"/>
    </row>
    <row r="46" spans="1:12" ht="12.75">
      <c r="A46" s="158" t="s">
        <v>268</v>
      </c>
      <c r="B46" s="141"/>
      <c r="C46" s="173" t="s">
        <v>341</v>
      </c>
      <c r="D46" s="143"/>
      <c r="E46" s="143"/>
      <c r="F46" s="143"/>
      <c r="G46" s="143"/>
      <c r="H46" s="143"/>
      <c r="I46" s="144"/>
      <c r="J46" s="10"/>
      <c r="K46" s="10"/>
      <c r="L46" s="10"/>
    </row>
    <row r="47" spans="1:12" ht="12.75">
      <c r="A47" s="94"/>
      <c r="B47" s="23"/>
      <c r="C47" s="22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8" t="s">
        <v>270</v>
      </c>
      <c r="B48" s="141"/>
      <c r="C48" s="182" t="s">
        <v>342</v>
      </c>
      <c r="D48" s="183"/>
      <c r="E48" s="184"/>
      <c r="F48" s="16"/>
      <c r="G48" s="52" t="s">
        <v>271</v>
      </c>
      <c r="H48" s="182" t="s">
        <v>343</v>
      </c>
      <c r="I48" s="184"/>
      <c r="J48" s="10"/>
      <c r="K48" s="10"/>
      <c r="L48" s="10"/>
    </row>
    <row r="49" spans="1:12" ht="12.75">
      <c r="A49" s="94"/>
      <c r="B49" s="23"/>
      <c r="C49" s="22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8" t="s">
        <v>257</v>
      </c>
      <c r="B50" s="141"/>
      <c r="C50" s="193" t="s">
        <v>344</v>
      </c>
      <c r="D50" s="183"/>
      <c r="E50" s="183"/>
      <c r="F50" s="183"/>
      <c r="G50" s="183"/>
      <c r="H50" s="183"/>
      <c r="I50" s="184"/>
      <c r="J50" s="10"/>
      <c r="K50" s="10"/>
      <c r="L50" s="10"/>
    </row>
    <row r="51" spans="1:12" ht="12.75">
      <c r="A51" s="94"/>
      <c r="B51" s="23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9" t="s">
        <v>272</v>
      </c>
      <c r="B52" s="170"/>
      <c r="C52" s="182" t="s">
        <v>345</v>
      </c>
      <c r="D52" s="183"/>
      <c r="E52" s="183"/>
      <c r="F52" s="183"/>
      <c r="G52" s="183"/>
      <c r="H52" s="183"/>
      <c r="I52" s="175"/>
      <c r="J52" s="10"/>
      <c r="K52" s="10"/>
      <c r="L52" s="10"/>
    </row>
    <row r="53" spans="1:12" ht="12.75">
      <c r="A53" s="110"/>
      <c r="B53" s="21"/>
      <c r="C53" s="187" t="s">
        <v>273</v>
      </c>
      <c r="D53" s="187"/>
      <c r="E53" s="187"/>
      <c r="F53" s="187"/>
      <c r="G53" s="187"/>
      <c r="H53" s="187"/>
      <c r="I53" s="111"/>
      <c r="J53" s="10"/>
      <c r="K53" s="10"/>
      <c r="L53" s="10"/>
    </row>
    <row r="54" spans="1:12" ht="12.75">
      <c r="A54" s="110"/>
      <c r="B54" s="21"/>
      <c r="C54" s="37"/>
      <c r="D54" s="37"/>
      <c r="E54" s="37"/>
      <c r="F54" s="37"/>
      <c r="G54" s="37"/>
      <c r="H54" s="37"/>
      <c r="I54" s="111"/>
      <c r="J54" s="10"/>
      <c r="K54" s="10"/>
      <c r="L54" s="10"/>
    </row>
    <row r="55" spans="1:12" ht="12.75">
      <c r="A55" s="110"/>
      <c r="B55" s="194" t="s">
        <v>274</v>
      </c>
      <c r="C55" s="195"/>
      <c r="D55" s="195"/>
      <c r="E55" s="195"/>
      <c r="F55" s="50"/>
      <c r="G55" s="50"/>
      <c r="H55" s="50"/>
      <c r="I55" s="112"/>
      <c r="J55" s="10"/>
      <c r="K55" s="10"/>
      <c r="L55" s="10"/>
    </row>
    <row r="56" spans="1:12" ht="12.75">
      <c r="A56" s="110"/>
      <c r="B56" s="196" t="s">
        <v>306</v>
      </c>
      <c r="C56" s="197"/>
      <c r="D56" s="197"/>
      <c r="E56" s="197"/>
      <c r="F56" s="197"/>
      <c r="G56" s="197"/>
      <c r="H56" s="197"/>
      <c r="I56" s="198"/>
      <c r="J56" s="10"/>
      <c r="K56" s="10"/>
      <c r="L56" s="10"/>
    </row>
    <row r="57" spans="1:12" ht="12.75">
      <c r="A57" s="110"/>
      <c r="B57" s="196" t="s">
        <v>307</v>
      </c>
      <c r="C57" s="197"/>
      <c r="D57" s="197"/>
      <c r="E57" s="197"/>
      <c r="F57" s="197"/>
      <c r="G57" s="197"/>
      <c r="H57" s="197"/>
      <c r="I57" s="112"/>
      <c r="J57" s="10"/>
      <c r="K57" s="10"/>
      <c r="L57" s="10"/>
    </row>
    <row r="58" spans="1:12" ht="12.75">
      <c r="A58" s="110"/>
      <c r="B58" s="196" t="s">
        <v>308</v>
      </c>
      <c r="C58" s="197"/>
      <c r="D58" s="197"/>
      <c r="E58" s="197"/>
      <c r="F58" s="197"/>
      <c r="G58" s="197"/>
      <c r="H58" s="197"/>
      <c r="I58" s="198"/>
      <c r="J58" s="10"/>
      <c r="K58" s="10"/>
      <c r="L58" s="10"/>
    </row>
    <row r="59" spans="1:12" ht="12.75">
      <c r="A59" s="110"/>
      <c r="B59" s="196" t="s">
        <v>309</v>
      </c>
      <c r="C59" s="197"/>
      <c r="D59" s="197"/>
      <c r="E59" s="197"/>
      <c r="F59" s="197"/>
      <c r="G59" s="197"/>
      <c r="H59" s="197"/>
      <c r="I59" s="198"/>
      <c r="J59" s="10"/>
      <c r="K59" s="10"/>
      <c r="L59" s="10"/>
    </row>
    <row r="60" spans="1:12" ht="12.75">
      <c r="A60" s="110"/>
      <c r="B60" s="113"/>
      <c r="C60" s="114"/>
      <c r="D60" s="114"/>
      <c r="E60" s="114"/>
      <c r="F60" s="114"/>
      <c r="G60" s="114"/>
      <c r="H60" s="114"/>
      <c r="I60" s="115"/>
      <c r="J60" s="10"/>
      <c r="K60" s="10"/>
      <c r="L60" s="10"/>
    </row>
    <row r="61" spans="1:12" ht="13.5" thickBot="1">
      <c r="A61" s="116" t="s">
        <v>275</v>
      </c>
      <c r="B61" s="16"/>
      <c r="C61" s="16"/>
      <c r="D61" s="16"/>
      <c r="E61" s="16"/>
      <c r="F61" s="16"/>
      <c r="G61" s="38"/>
      <c r="H61" s="39"/>
      <c r="I61" s="117"/>
      <c r="J61" s="10"/>
      <c r="K61" s="10"/>
      <c r="L61" s="10"/>
    </row>
    <row r="62" spans="1:12" ht="12.75">
      <c r="A62" s="90"/>
      <c r="B62" s="16"/>
      <c r="C62" s="16"/>
      <c r="D62" s="16"/>
      <c r="E62" s="21" t="s">
        <v>276</v>
      </c>
      <c r="F62" s="99"/>
      <c r="G62" s="188" t="s">
        <v>277</v>
      </c>
      <c r="H62" s="189"/>
      <c r="I62" s="190"/>
      <c r="J62" s="10"/>
      <c r="K62" s="10"/>
      <c r="L62" s="10"/>
    </row>
    <row r="63" spans="1:12" ht="12.75">
      <c r="A63" s="118"/>
      <c r="B63" s="119"/>
      <c r="C63" s="120"/>
      <c r="D63" s="120"/>
      <c r="E63" s="120"/>
      <c r="F63" s="120"/>
      <c r="G63" s="191"/>
      <c r="H63" s="192"/>
      <c r="I63" s="121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stra@istra-trgovina.hr"/>
    <hyperlink ref="C20" r:id="rId2" display="www.istra-trgovina.hr"/>
    <hyperlink ref="C50" r:id="rId3" display="zdenka.meden@istra-trgovi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22"/>
  <sheetViews>
    <sheetView view="pageBreakPreview" zoomScale="110" zoomScaleSheetLayoutView="110" workbookViewId="0" topLeftCell="A92">
      <selection activeCell="A120" sqref="A120:K120"/>
    </sheetView>
  </sheetViews>
  <sheetFormatPr defaultColWidth="9.140625" defaultRowHeight="12.75"/>
  <cols>
    <col min="1" max="8" width="9.140625" style="53" customWidth="1"/>
    <col min="9" max="9" width="9.28125" style="53" bestFit="1" customWidth="1"/>
    <col min="10" max="10" width="10.00390625" style="53" bestFit="1" customWidth="1"/>
    <col min="11" max="11" width="9.8515625" style="53" bestFit="1" customWidth="1"/>
    <col min="12" max="12" width="9.7109375" style="53" bestFit="1" customWidth="1"/>
    <col min="13" max="16384" width="9.140625" style="53" customWidth="1"/>
  </cols>
  <sheetData>
    <row r="1" spans="1:11" ht="12.75" customHeight="1">
      <c r="A1" s="236" t="s">
        <v>153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2.75" customHeight="1">
      <c r="A2" s="237" t="s">
        <v>346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>
      <c r="A3" s="238" t="s">
        <v>347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2.5">
      <c r="A4" s="241" t="s">
        <v>59</v>
      </c>
      <c r="B4" s="242"/>
      <c r="C4" s="242"/>
      <c r="D4" s="242"/>
      <c r="E4" s="242"/>
      <c r="F4" s="242"/>
      <c r="G4" s="242"/>
      <c r="H4" s="243"/>
      <c r="I4" s="59" t="s">
        <v>278</v>
      </c>
      <c r="J4" s="60" t="s">
        <v>319</v>
      </c>
      <c r="K4" s="61" t="s">
        <v>320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58">
        <v>2</v>
      </c>
      <c r="J5" s="57">
        <v>3</v>
      </c>
      <c r="K5" s="57">
        <v>4</v>
      </c>
    </row>
    <row r="6" spans="1:11" ht="12.7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12.75">
      <c r="A7" s="208" t="s">
        <v>60</v>
      </c>
      <c r="B7" s="209"/>
      <c r="C7" s="209"/>
      <c r="D7" s="209"/>
      <c r="E7" s="209"/>
      <c r="F7" s="209"/>
      <c r="G7" s="209"/>
      <c r="H7" s="226"/>
      <c r="I7" s="3">
        <v>1</v>
      </c>
      <c r="J7" s="6"/>
      <c r="K7" s="6"/>
    </row>
    <row r="8" spans="1:11" ht="12.75">
      <c r="A8" s="215" t="s">
        <v>13</v>
      </c>
      <c r="B8" s="216"/>
      <c r="C8" s="216"/>
      <c r="D8" s="216"/>
      <c r="E8" s="216"/>
      <c r="F8" s="216"/>
      <c r="G8" s="216"/>
      <c r="H8" s="217"/>
      <c r="I8" s="1">
        <v>2</v>
      </c>
      <c r="J8" s="130">
        <f>J9+J16+J26+J35+J39</f>
        <v>237223736</v>
      </c>
      <c r="K8" s="130">
        <f>K9+K16+K26+K35+K39</f>
        <v>237892936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130">
        <f>SUM(J10:J15)</f>
        <v>13673731</v>
      </c>
      <c r="K9" s="130">
        <f>SUM(K10:K15)</f>
        <v>15731431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3741247</v>
      </c>
      <c r="K11" s="7">
        <v>5798947</v>
      </c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>
        <v>9932484</v>
      </c>
      <c r="K12" s="7">
        <v>9932484</v>
      </c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/>
      <c r="K14" s="7"/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130">
        <f>SUM(J17:J25)</f>
        <v>212774959</v>
      </c>
      <c r="K16" s="130">
        <f>SUM(K17:K25)</f>
        <v>211388894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74618423</v>
      </c>
      <c r="K17" s="7">
        <f>J17</f>
        <v>74618423</v>
      </c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130532983</v>
      </c>
      <c r="K18" s="7">
        <v>129096331</v>
      </c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5990070</v>
      </c>
      <c r="K19" s="7">
        <v>5710916</v>
      </c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1463380</v>
      </c>
      <c r="K20" s="7">
        <v>1844156</v>
      </c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/>
      <c r="K22" s="7"/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170103</v>
      </c>
      <c r="K23" s="7">
        <v>119068</v>
      </c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/>
      <c r="K24" s="7"/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/>
      <c r="K25" s="7"/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130">
        <f>SUM(J27:J34)</f>
        <v>3278549</v>
      </c>
      <c r="K26" s="130">
        <f>SUM(K27:K34)</f>
        <v>3278549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3264000</v>
      </c>
      <c r="K27" s="7">
        <f>J27</f>
        <v>3264000</v>
      </c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12899</v>
      </c>
      <c r="K29" s="7">
        <f>J29</f>
        <v>12899</v>
      </c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/>
      <c r="K32" s="7"/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>
        <v>1650</v>
      </c>
      <c r="K33" s="7">
        <f>J33</f>
        <v>1650</v>
      </c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130">
        <f>SUM(J36:J38)</f>
        <v>7496497</v>
      </c>
      <c r="K35" s="130">
        <f>SUM(K36:K38)</f>
        <v>7494062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>
        <v>6975500</v>
      </c>
      <c r="K36" s="7">
        <f>J36</f>
        <v>6975500</v>
      </c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>
        <v>504822</v>
      </c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>
        <v>520997</v>
      </c>
      <c r="K38" s="7">
        <v>13740</v>
      </c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215" t="s">
        <v>240</v>
      </c>
      <c r="B40" s="216"/>
      <c r="C40" s="216"/>
      <c r="D40" s="216"/>
      <c r="E40" s="216"/>
      <c r="F40" s="216"/>
      <c r="G40" s="216"/>
      <c r="H40" s="217"/>
      <c r="I40" s="1">
        <v>34</v>
      </c>
      <c r="J40" s="130">
        <f>J41+J49+J56+J64</f>
        <v>27145099</v>
      </c>
      <c r="K40" s="130">
        <f>K41+K49+K56+K64</f>
        <v>27619623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130">
        <f>SUM(J42:J48)</f>
        <v>11298937</v>
      </c>
      <c r="K41" s="130">
        <f>SUM(K42:K48)</f>
        <v>12264206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704450</v>
      </c>
      <c r="K42" s="7">
        <v>693724</v>
      </c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/>
      <c r="K43" s="7"/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>
        <v>136304</v>
      </c>
      <c r="K44" s="7">
        <v>169226</v>
      </c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10376335</v>
      </c>
      <c r="K45" s="7">
        <v>11383233</v>
      </c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>
        <v>81848</v>
      </c>
      <c r="K46" s="7">
        <v>18023</v>
      </c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130">
        <f>SUM(J50:J55)</f>
        <v>9927669</v>
      </c>
      <c r="K49" s="130">
        <f>SUM(K50:K55)</f>
        <v>11326863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1922586</v>
      </c>
      <c r="K50" s="7">
        <v>1724527</v>
      </c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7490776</v>
      </c>
      <c r="K51" s="7">
        <v>8542178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86686</v>
      </c>
      <c r="K53" s="7">
        <v>55426</v>
      </c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427621</v>
      </c>
      <c r="K54" s="7">
        <v>1004732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/>
      <c r="K55" s="7"/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130">
        <f>SUM(J57:J63)</f>
        <v>5114978</v>
      </c>
      <c r="K56" s="130">
        <f>SUM(K57:K63)</f>
        <v>3171781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>
        <v>4991362</v>
      </c>
      <c r="K58" s="7">
        <v>3061362</v>
      </c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/>
      <c r="K61" s="7"/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100000</v>
      </c>
      <c r="K62" s="7">
        <v>100000</v>
      </c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>
        <v>23616</v>
      </c>
      <c r="K63" s="7">
        <v>10419</v>
      </c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803515</v>
      </c>
      <c r="K64" s="7">
        <v>856773</v>
      </c>
    </row>
    <row r="65" spans="1:11" ht="12.75">
      <c r="A65" s="215" t="s">
        <v>56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>
        <v>4483</v>
      </c>
      <c r="K65" s="7">
        <v>36361</v>
      </c>
    </row>
    <row r="66" spans="1:13" ht="12.75">
      <c r="A66" s="215" t="s">
        <v>241</v>
      </c>
      <c r="B66" s="216"/>
      <c r="C66" s="216"/>
      <c r="D66" s="216"/>
      <c r="E66" s="216"/>
      <c r="F66" s="216"/>
      <c r="G66" s="216"/>
      <c r="H66" s="217"/>
      <c r="I66" s="1">
        <v>60</v>
      </c>
      <c r="J66" s="130">
        <f>J7+J8+J40+J65</f>
        <v>264373318</v>
      </c>
      <c r="K66" s="130">
        <f>K7+K8+K40+K65</f>
        <v>265548920</v>
      </c>
      <c r="L66" s="132"/>
      <c r="M66" s="132"/>
    </row>
    <row r="67" spans="1:11" ht="12.75">
      <c r="A67" s="227" t="s">
        <v>91</v>
      </c>
      <c r="B67" s="228"/>
      <c r="C67" s="228"/>
      <c r="D67" s="228"/>
      <c r="E67" s="228"/>
      <c r="F67" s="228"/>
      <c r="G67" s="228"/>
      <c r="H67" s="229"/>
      <c r="I67" s="4">
        <v>61</v>
      </c>
      <c r="J67" s="8">
        <v>4420094</v>
      </c>
      <c r="K67" s="8">
        <v>4693414</v>
      </c>
    </row>
    <row r="68" spans="1:11" ht="12.75">
      <c r="A68" s="204" t="s">
        <v>58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08" t="s">
        <v>191</v>
      </c>
      <c r="B69" s="209"/>
      <c r="C69" s="209"/>
      <c r="D69" s="209"/>
      <c r="E69" s="209"/>
      <c r="F69" s="209"/>
      <c r="G69" s="209"/>
      <c r="H69" s="226"/>
      <c r="I69" s="3">
        <v>62</v>
      </c>
      <c r="J69" s="131">
        <f>J70+J71+J72+J78+J79+J82+J85</f>
        <v>149870249</v>
      </c>
      <c r="K69" s="131">
        <f>K70+K71+K72+K78+K79+K82+K85</f>
        <v>144343692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f>110466000-7787853</f>
        <v>102678147</v>
      </c>
      <c r="K70" s="7">
        <f>J70</f>
        <v>102678147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/>
      <c r="K71" s="7"/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54">
        <f>J73+J74-J75+J76+J77</f>
        <v>39</v>
      </c>
      <c r="K72" s="54">
        <f>K73+K74-K75+K76+K77</f>
        <v>39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/>
      <c r="K73" s="7"/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/>
      <c r="K74" s="7"/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/>
      <c r="K75" s="7"/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39</v>
      </c>
      <c r="K77" s="7">
        <v>39</v>
      </c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77834652</v>
      </c>
      <c r="K78" s="7">
        <v>77834652</v>
      </c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130">
        <f>J80-J81</f>
        <v>-27096846</v>
      </c>
      <c r="K79" s="130">
        <f>K80-K81</f>
        <v>-30642590</v>
      </c>
    </row>
    <row r="80" spans="1:11" ht="12.75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/>
      <c r="K80" s="7"/>
    </row>
    <row r="81" spans="1:11" ht="12.75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>
        <f>34884699-7787853</f>
        <v>27096846</v>
      </c>
      <c r="K81" s="7">
        <v>30642590</v>
      </c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130">
        <f>J83-J84</f>
        <v>-3545743</v>
      </c>
      <c r="K82" s="130">
        <f>K83-K84</f>
        <v>-5526556</v>
      </c>
    </row>
    <row r="83" spans="1:11" ht="12.75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/>
      <c r="K83" s="7"/>
    </row>
    <row r="84" spans="1:11" ht="12.75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>
        <f>3545743+J85</f>
        <v>3545743</v>
      </c>
      <c r="K84" s="7">
        <f>5526556+K85</f>
        <v>5526556</v>
      </c>
    </row>
    <row r="85" spans="1:12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>
        <f>-1005437*0</f>
        <v>0</v>
      </c>
      <c r="K85" s="7">
        <f>(-17090-244243)*0</f>
        <v>0</v>
      </c>
      <c r="L85" s="132"/>
    </row>
    <row r="86" spans="1:11" ht="12.75">
      <c r="A86" s="215" t="s">
        <v>19</v>
      </c>
      <c r="B86" s="216"/>
      <c r="C86" s="216"/>
      <c r="D86" s="216"/>
      <c r="E86" s="216"/>
      <c r="F86" s="216"/>
      <c r="G86" s="216"/>
      <c r="H86" s="217"/>
      <c r="I86" s="1">
        <v>79</v>
      </c>
      <c r="J86" s="130">
        <f>SUM(J87:J89)</f>
        <v>1595393</v>
      </c>
      <c r="K86" s="130">
        <f>SUM(K87:K89)</f>
        <v>1595393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1595393</v>
      </c>
      <c r="K87" s="7">
        <v>1595393</v>
      </c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/>
      <c r="K89" s="7"/>
    </row>
    <row r="90" spans="1:11" ht="12.75">
      <c r="A90" s="215" t="s">
        <v>20</v>
      </c>
      <c r="B90" s="216"/>
      <c r="C90" s="216"/>
      <c r="D90" s="216"/>
      <c r="E90" s="216"/>
      <c r="F90" s="216"/>
      <c r="G90" s="216"/>
      <c r="H90" s="217"/>
      <c r="I90" s="1">
        <v>83</v>
      </c>
      <c r="J90" s="130">
        <f>SUM(J91:J99)</f>
        <v>12878</v>
      </c>
      <c r="K90" s="130">
        <f>SUM(K91:K99)</f>
        <v>858453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>
        <v>12878</v>
      </c>
      <c r="K92" s="7">
        <v>11554</v>
      </c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/>
      <c r="K93" s="7">
        <v>846899</v>
      </c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>
      <c r="A100" s="215" t="s">
        <v>21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130">
        <f>SUM(J101:J112)</f>
        <v>112894798</v>
      </c>
      <c r="K100" s="130">
        <f>SUM(K101:K112)</f>
        <v>118751382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59633546</v>
      </c>
      <c r="K101" s="7">
        <v>55273216</v>
      </c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/>
      <c r="K102" s="7">
        <v>100000</v>
      </c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4066593</v>
      </c>
      <c r="K103" s="7">
        <v>3078485</v>
      </c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168124</v>
      </c>
      <c r="K104" s="7">
        <v>264031</v>
      </c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17440788</v>
      </c>
      <c r="K105" s="7">
        <v>20176398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/>
      <c r="K106" s="7">
        <v>7792800</v>
      </c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1295956</v>
      </c>
      <c r="K108" s="7">
        <v>1930815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1674215</v>
      </c>
      <c r="K109" s="7">
        <v>948287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/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28615576</v>
      </c>
      <c r="K112" s="7">
        <v>29187350</v>
      </c>
    </row>
    <row r="113" spans="1:11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7"/>
      <c r="K113" s="7"/>
    </row>
    <row r="114" spans="1:13" ht="12.75">
      <c r="A114" s="215" t="s">
        <v>25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130">
        <f>J69+J86+J90+J100+J113</f>
        <v>264373318</v>
      </c>
      <c r="K114" s="130">
        <f>K69+K86+K90+K100+K113</f>
        <v>265548920</v>
      </c>
      <c r="L114" s="132"/>
      <c r="M114" s="132"/>
    </row>
    <row r="115" spans="1:11" ht="12.75">
      <c r="A115" s="201" t="s">
        <v>57</v>
      </c>
      <c r="B115" s="202"/>
      <c r="C115" s="202"/>
      <c r="D115" s="202"/>
      <c r="E115" s="202"/>
      <c r="F115" s="202"/>
      <c r="G115" s="202"/>
      <c r="H115" s="203"/>
      <c r="I115" s="2">
        <v>108</v>
      </c>
      <c r="J115" s="8">
        <f>J67</f>
        <v>4420094</v>
      </c>
      <c r="K115" s="8">
        <f>K67</f>
        <v>4693414</v>
      </c>
    </row>
    <row r="116" spans="1:11" ht="12.75">
      <c r="A116" s="204" t="s">
        <v>310</v>
      </c>
      <c r="B116" s="205"/>
      <c r="C116" s="205"/>
      <c r="D116" s="205"/>
      <c r="E116" s="205"/>
      <c r="F116" s="205"/>
      <c r="G116" s="205"/>
      <c r="H116" s="205"/>
      <c r="I116" s="206"/>
      <c r="J116" s="206"/>
      <c r="K116" s="207"/>
    </row>
    <row r="117" spans="1:11" ht="12.75">
      <c r="A117" s="208" t="s">
        <v>186</v>
      </c>
      <c r="B117" s="209"/>
      <c r="C117" s="209"/>
      <c r="D117" s="209"/>
      <c r="E117" s="209"/>
      <c r="F117" s="209"/>
      <c r="G117" s="209"/>
      <c r="H117" s="209"/>
      <c r="I117" s="210"/>
      <c r="J117" s="210"/>
      <c r="K117" s="211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>
        <f>J69</f>
        <v>149870249</v>
      </c>
      <c r="K118" s="7">
        <f>K69</f>
        <v>144343692</v>
      </c>
    </row>
    <row r="119" spans="1:13" ht="12.75">
      <c r="A119" s="218" t="s">
        <v>9</v>
      </c>
      <c r="B119" s="219"/>
      <c r="C119" s="219"/>
      <c r="D119" s="219"/>
      <c r="E119" s="219"/>
      <c r="F119" s="219"/>
      <c r="G119" s="219"/>
      <c r="H119" s="220"/>
      <c r="I119" s="4">
        <v>110</v>
      </c>
      <c r="J119" s="8"/>
      <c r="K119" s="8"/>
      <c r="L119" s="132"/>
      <c r="M119" s="132"/>
    </row>
    <row r="120" spans="1:11" ht="12.75">
      <c r="A120" s="221" t="s">
        <v>311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</row>
    <row r="121" spans="1:11" ht="12.75">
      <c r="A121" s="199"/>
      <c r="B121" s="200"/>
      <c r="C121" s="200"/>
      <c r="D121" s="200"/>
      <c r="E121" s="200"/>
      <c r="F121" s="200"/>
      <c r="G121" s="200"/>
      <c r="H121" s="200"/>
      <c r="I121" s="200"/>
      <c r="J121" s="200"/>
      <c r="K121" s="200"/>
    </row>
    <row r="122" spans="10:11" ht="12.75">
      <c r="J122" s="132"/>
      <c r="K122" s="132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:K6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71"/>
  <sheetViews>
    <sheetView view="pageBreakPreview" zoomScale="110" zoomScaleSheetLayoutView="110" workbookViewId="0" topLeftCell="A39">
      <selection activeCell="L53" sqref="L53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36" t="s">
        <v>154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 ht="12.75" customHeight="1">
      <c r="A2" s="244" t="s">
        <v>348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60" t="s">
        <v>349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3.25">
      <c r="A4" s="259" t="s">
        <v>59</v>
      </c>
      <c r="B4" s="259"/>
      <c r="C4" s="259"/>
      <c r="D4" s="259"/>
      <c r="E4" s="259"/>
      <c r="F4" s="259"/>
      <c r="G4" s="259"/>
      <c r="H4" s="259"/>
      <c r="I4" s="59" t="s">
        <v>279</v>
      </c>
      <c r="J4" s="258" t="s">
        <v>319</v>
      </c>
      <c r="K4" s="258"/>
      <c r="L4" s="258" t="s">
        <v>320</v>
      </c>
      <c r="M4" s="258"/>
    </row>
    <row r="5" spans="1:13" ht="22.5">
      <c r="A5" s="259"/>
      <c r="B5" s="259"/>
      <c r="C5" s="259"/>
      <c r="D5" s="259"/>
      <c r="E5" s="259"/>
      <c r="F5" s="259"/>
      <c r="G5" s="259"/>
      <c r="H5" s="259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58">
        <v>1</v>
      </c>
      <c r="B6" s="258"/>
      <c r="C6" s="258"/>
      <c r="D6" s="258"/>
      <c r="E6" s="258"/>
      <c r="F6" s="258"/>
      <c r="G6" s="258"/>
      <c r="H6" s="258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4" ht="12.75">
      <c r="A7" s="208" t="s">
        <v>26</v>
      </c>
      <c r="B7" s="209"/>
      <c r="C7" s="209"/>
      <c r="D7" s="209"/>
      <c r="E7" s="209"/>
      <c r="F7" s="209"/>
      <c r="G7" s="209"/>
      <c r="H7" s="226"/>
      <c r="I7" s="3">
        <v>111</v>
      </c>
      <c r="J7" s="55">
        <f>SUM(J8:J9)</f>
        <v>28046732</v>
      </c>
      <c r="K7" s="55">
        <f>SUM(K8:K9)</f>
        <v>15913665</v>
      </c>
      <c r="L7" s="55">
        <f>SUM(L8:L9)</f>
        <v>26140384</v>
      </c>
      <c r="M7" s="55">
        <f>SUM(M8:M9)</f>
        <v>15106586</v>
      </c>
      <c r="N7" s="132"/>
    </row>
    <row r="8" spans="1:13" ht="12.75">
      <c r="A8" s="215" t="s">
        <v>152</v>
      </c>
      <c r="B8" s="216"/>
      <c r="C8" s="216"/>
      <c r="D8" s="216"/>
      <c r="E8" s="216"/>
      <c r="F8" s="216"/>
      <c r="G8" s="216"/>
      <c r="H8" s="217"/>
      <c r="I8" s="1">
        <v>112</v>
      </c>
      <c r="J8" s="7">
        <v>24502605</v>
      </c>
      <c r="K8" s="7">
        <f>J8-10526920</f>
        <v>13975685</v>
      </c>
      <c r="L8" s="7">
        <v>22859675</v>
      </c>
      <c r="M8" s="7">
        <f>L8-9390585</f>
        <v>13469090</v>
      </c>
    </row>
    <row r="9" spans="1:13" ht="12.75">
      <c r="A9" s="215" t="s">
        <v>103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v>3544127</v>
      </c>
      <c r="K9" s="7">
        <f>J9-1606147</f>
        <v>1937980</v>
      </c>
      <c r="L9" s="7">
        <v>3280709</v>
      </c>
      <c r="M9" s="7">
        <f>L9-1643213</f>
        <v>1637496</v>
      </c>
    </row>
    <row r="10" spans="1:15" ht="12.75">
      <c r="A10" s="215" t="s">
        <v>12</v>
      </c>
      <c r="B10" s="216"/>
      <c r="C10" s="216"/>
      <c r="D10" s="216"/>
      <c r="E10" s="216"/>
      <c r="F10" s="216"/>
      <c r="G10" s="216"/>
      <c r="H10" s="217"/>
      <c r="I10" s="1">
        <v>114</v>
      </c>
      <c r="J10" s="54">
        <f>J11+J12+J16+J20+J21+J22+J25+J26</f>
        <v>33357554</v>
      </c>
      <c r="K10" s="54">
        <f>K11+K12+K16+K20+K21+K22+K25+K26</f>
        <v>17643604</v>
      </c>
      <c r="L10" s="54">
        <f>L11+L12+L16+L20+L21+L22+L25+L26</f>
        <v>31345534</v>
      </c>
      <c r="M10" s="54">
        <f>M11+M12+M16+M20+M21+M22+M25+M26</f>
        <v>17447213</v>
      </c>
      <c r="N10" s="132"/>
      <c r="O10" s="132"/>
    </row>
    <row r="11" spans="1:14" ht="12.75">
      <c r="A11" s="215" t="s">
        <v>104</v>
      </c>
      <c r="B11" s="216"/>
      <c r="C11" s="216"/>
      <c r="D11" s="216"/>
      <c r="E11" s="216"/>
      <c r="F11" s="216"/>
      <c r="G11" s="216"/>
      <c r="H11" s="217"/>
      <c r="I11" s="1">
        <v>115</v>
      </c>
      <c r="J11" s="7">
        <v>-56126</v>
      </c>
      <c r="K11" s="7">
        <f>J11+63610</f>
        <v>7484</v>
      </c>
      <c r="L11" s="7">
        <v>-34801</v>
      </c>
      <c r="M11" s="7">
        <f>L11-32917</f>
        <v>-67718</v>
      </c>
      <c r="N11" s="132"/>
    </row>
    <row r="12" spans="1:14" ht="12.75">
      <c r="A12" s="215" t="s">
        <v>22</v>
      </c>
      <c r="B12" s="216"/>
      <c r="C12" s="216"/>
      <c r="D12" s="216"/>
      <c r="E12" s="216"/>
      <c r="F12" s="216"/>
      <c r="G12" s="216"/>
      <c r="H12" s="217"/>
      <c r="I12" s="1">
        <v>116</v>
      </c>
      <c r="J12" s="54">
        <f>SUM(J13:J15)</f>
        <v>20806922</v>
      </c>
      <c r="K12" s="54">
        <f>SUM(K13:K15)</f>
        <v>11241738</v>
      </c>
      <c r="L12" s="54">
        <f>SUM(L13:L15)</f>
        <v>19863528</v>
      </c>
      <c r="M12" s="54">
        <f>SUM(M13:M15)</f>
        <v>11277441</v>
      </c>
      <c r="N12" s="132"/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1952876</v>
      </c>
      <c r="K13" s="7">
        <f>J13-993204</f>
        <v>959672</v>
      </c>
      <c r="L13" s="7">
        <v>2141653</v>
      </c>
      <c r="M13" s="7">
        <f>L13-864186</f>
        <v>1277467</v>
      </c>
    </row>
    <row r="14" spans="1:13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16574772</v>
      </c>
      <c r="K14" s="7">
        <f>J14-7492072</f>
        <v>9082700</v>
      </c>
      <c r="L14" s="7">
        <v>14695850</v>
      </c>
      <c r="M14" s="7">
        <f>L14-6305701</f>
        <v>8390149</v>
      </c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2279274</v>
      </c>
      <c r="K15" s="7">
        <f>J15-1079908</f>
        <v>1199366</v>
      </c>
      <c r="L15" s="7">
        <v>3026025</v>
      </c>
      <c r="M15" s="7">
        <f>L15-1416200</f>
        <v>1609825</v>
      </c>
    </row>
    <row r="16" spans="1:14" ht="12.75">
      <c r="A16" s="215" t="s">
        <v>23</v>
      </c>
      <c r="B16" s="216"/>
      <c r="C16" s="216"/>
      <c r="D16" s="216"/>
      <c r="E16" s="216"/>
      <c r="F16" s="216"/>
      <c r="G16" s="216"/>
      <c r="H16" s="217"/>
      <c r="I16" s="1">
        <v>120</v>
      </c>
      <c r="J16" s="54">
        <f>SUM(J17:J19)</f>
        <v>6363518</v>
      </c>
      <c r="K16" s="54">
        <f>SUM(K17:K19)</f>
        <v>3156181</v>
      </c>
      <c r="L16" s="54">
        <f>SUM(L17:L19)</f>
        <v>5335211</v>
      </c>
      <c r="M16" s="54">
        <f>SUM(M17:M19)</f>
        <v>2763347</v>
      </c>
      <c r="N16" s="132"/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3920178</v>
      </c>
      <c r="K17" s="7">
        <f>J17-2017110</f>
        <v>1903068</v>
      </c>
      <c r="L17" s="7">
        <v>3363337</v>
      </c>
      <c r="M17" s="7">
        <f>L17-1502431</f>
        <v>1860906</v>
      </c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1519084</v>
      </c>
      <c r="K18" s="7">
        <f>J18-725403</f>
        <v>793681</v>
      </c>
      <c r="L18" s="7">
        <v>1192423</v>
      </c>
      <c r="M18" s="7">
        <f>L18-691971</f>
        <v>500452</v>
      </c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924256</v>
      </c>
      <c r="K19" s="7">
        <f>J19-464824</f>
        <v>459432</v>
      </c>
      <c r="L19" s="7">
        <v>779451</v>
      </c>
      <c r="M19" s="7">
        <f>L19-377462</f>
        <v>401989</v>
      </c>
    </row>
    <row r="20" spans="1:14" ht="12.75">
      <c r="A20" s="215" t="s">
        <v>105</v>
      </c>
      <c r="B20" s="216"/>
      <c r="C20" s="216"/>
      <c r="D20" s="216"/>
      <c r="E20" s="216"/>
      <c r="F20" s="216"/>
      <c r="G20" s="216"/>
      <c r="H20" s="217"/>
      <c r="I20" s="1">
        <v>124</v>
      </c>
      <c r="J20" s="7">
        <v>2716689</v>
      </c>
      <c r="K20" s="7">
        <f>J20-1352378</f>
        <v>1364311</v>
      </c>
      <c r="L20" s="7">
        <v>2856967</v>
      </c>
      <c r="M20" s="7">
        <f>L20-1363265</f>
        <v>1493702</v>
      </c>
      <c r="N20" s="132"/>
    </row>
    <row r="21" spans="1:14" ht="12.75">
      <c r="A21" s="215" t="s">
        <v>106</v>
      </c>
      <c r="B21" s="216"/>
      <c r="C21" s="216"/>
      <c r="D21" s="216"/>
      <c r="E21" s="216"/>
      <c r="F21" s="216"/>
      <c r="G21" s="216"/>
      <c r="H21" s="217"/>
      <c r="I21" s="1">
        <v>125</v>
      </c>
      <c r="J21" s="7">
        <v>3475359</v>
      </c>
      <c r="K21" s="7">
        <f>J21-1651857</f>
        <v>1823502</v>
      </c>
      <c r="L21" s="7">
        <v>3031174</v>
      </c>
      <c r="M21" s="7">
        <f>L21-1337857</f>
        <v>1693317</v>
      </c>
      <c r="N21" s="132"/>
    </row>
    <row r="22" spans="1:13" ht="12.75">
      <c r="A22" s="215" t="s">
        <v>24</v>
      </c>
      <c r="B22" s="216"/>
      <c r="C22" s="216"/>
      <c r="D22" s="216"/>
      <c r="E22" s="216"/>
      <c r="F22" s="216"/>
      <c r="G22" s="216"/>
      <c r="H22" s="217"/>
      <c r="I22" s="1">
        <v>126</v>
      </c>
      <c r="J22" s="54">
        <f>SUM(J23:J24)</f>
        <v>45274</v>
      </c>
      <c r="K22" s="54">
        <f>SUM(K23:K24)</f>
        <v>45274</v>
      </c>
      <c r="L22" s="54">
        <f>SUM(L23:L24)</f>
        <v>0</v>
      </c>
      <c r="M22" s="54">
        <f>SUM(M23:M24)</f>
        <v>0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/>
      <c r="K23" s="7"/>
      <c r="L23" s="7"/>
      <c r="M23" s="7"/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>
        <v>45274</v>
      </c>
      <c r="K24" s="7">
        <f>J24-0</f>
        <v>45274</v>
      </c>
      <c r="L24" s="7"/>
      <c r="M24" s="7"/>
    </row>
    <row r="25" spans="1:13" ht="12.75">
      <c r="A25" s="215" t="s">
        <v>107</v>
      </c>
      <c r="B25" s="216"/>
      <c r="C25" s="216"/>
      <c r="D25" s="216"/>
      <c r="E25" s="216"/>
      <c r="F25" s="216"/>
      <c r="G25" s="216"/>
      <c r="H25" s="217"/>
      <c r="I25" s="1">
        <v>129</v>
      </c>
      <c r="J25" s="7"/>
      <c r="K25" s="7"/>
      <c r="L25" s="7"/>
      <c r="M25" s="7"/>
    </row>
    <row r="26" spans="1:14" ht="12.75">
      <c r="A26" s="215" t="s">
        <v>50</v>
      </c>
      <c r="B26" s="216"/>
      <c r="C26" s="216"/>
      <c r="D26" s="216"/>
      <c r="E26" s="216"/>
      <c r="F26" s="216"/>
      <c r="G26" s="216"/>
      <c r="H26" s="217"/>
      <c r="I26" s="1">
        <v>130</v>
      </c>
      <c r="J26" s="7">
        <v>5918</v>
      </c>
      <c r="K26" s="7">
        <f>J26-804</f>
        <v>5114</v>
      </c>
      <c r="L26" s="7">
        <v>293455</v>
      </c>
      <c r="M26" s="7">
        <f>L26-6331</f>
        <v>287124</v>
      </c>
      <c r="N26" s="132"/>
    </row>
    <row r="27" spans="1:14" ht="12.75">
      <c r="A27" s="215" t="s">
        <v>213</v>
      </c>
      <c r="B27" s="216"/>
      <c r="C27" s="216"/>
      <c r="D27" s="216"/>
      <c r="E27" s="216"/>
      <c r="F27" s="216"/>
      <c r="G27" s="216"/>
      <c r="H27" s="217"/>
      <c r="I27" s="1">
        <v>131</v>
      </c>
      <c r="J27" s="54">
        <f>SUM(J28:J32)</f>
        <v>336532</v>
      </c>
      <c r="K27" s="54">
        <f>SUM(K28:K32)</f>
        <v>328187</v>
      </c>
      <c r="L27" s="54">
        <f>SUM(L28:L32)</f>
        <v>241593</v>
      </c>
      <c r="M27" s="54">
        <f>SUM(M28:M32)</f>
        <v>120308</v>
      </c>
      <c r="N27" s="132"/>
    </row>
    <row r="28" spans="1:13" ht="12.75">
      <c r="A28" s="215" t="s">
        <v>227</v>
      </c>
      <c r="B28" s="216"/>
      <c r="C28" s="216"/>
      <c r="D28" s="216"/>
      <c r="E28" s="216"/>
      <c r="F28" s="216"/>
      <c r="G28" s="216"/>
      <c r="H28" s="217"/>
      <c r="I28" s="1">
        <v>132</v>
      </c>
      <c r="J28" s="7">
        <v>292089</v>
      </c>
      <c r="K28" s="7">
        <f>J28-0</f>
        <v>292089</v>
      </c>
      <c r="L28" s="7">
        <v>233456</v>
      </c>
      <c r="M28" s="7">
        <f>L28-118963</f>
        <v>114493</v>
      </c>
    </row>
    <row r="29" spans="1:13" ht="12.75">
      <c r="A29" s="215" t="s">
        <v>155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44443</v>
      </c>
      <c r="K29" s="7">
        <f>J29-8345</f>
        <v>36098</v>
      </c>
      <c r="L29" s="7">
        <v>8137</v>
      </c>
      <c r="M29" s="7">
        <f>L29-2322</f>
        <v>5815</v>
      </c>
    </row>
    <row r="30" spans="1:13" ht="12.75">
      <c r="A30" s="215" t="s">
        <v>139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/>
      <c r="K30" s="7"/>
      <c r="L30" s="7"/>
      <c r="M30" s="7"/>
    </row>
    <row r="31" spans="1:13" ht="12.75">
      <c r="A31" s="215" t="s">
        <v>223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/>
      <c r="K31" s="7"/>
      <c r="L31" s="7"/>
      <c r="M31" s="7"/>
    </row>
    <row r="32" spans="1:13" ht="12.75">
      <c r="A32" s="215" t="s">
        <v>140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/>
      <c r="K32" s="7"/>
      <c r="L32" s="7"/>
      <c r="M32" s="7"/>
    </row>
    <row r="33" spans="1:14" ht="12.75">
      <c r="A33" s="215" t="s">
        <v>214</v>
      </c>
      <c r="B33" s="216"/>
      <c r="C33" s="216"/>
      <c r="D33" s="216"/>
      <c r="E33" s="216"/>
      <c r="F33" s="216"/>
      <c r="G33" s="216"/>
      <c r="H33" s="217"/>
      <c r="I33" s="1">
        <v>137</v>
      </c>
      <c r="J33" s="54">
        <f>SUM(J34:J37)</f>
        <v>330781</v>
      </c>
      <c r="K33" s="54">
        <f>SUM(K34:K37)</f>
        <v>224505</v>
      </c>
      <c r="L33" s="54">
        <f>SUM(L34:L37)</f>
        <v>562999</v>
      </c>
      <c r="M33" s="54">
        <f>SUM(M34:M37)</f>
        <v>357263</v>
      </c>
      <c r="N33" s="132"/>
    </row>
    <row r="34" spans="1:13" ht="12.75">
      <c r="A34" s="215" t="s">
        <v>66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/>
      <c r="K34" s="7"/>
      <c r="L34" s="7"/>
      <c r="M34" s="7"/>
    </row>
    <row r="35" spans="1:13" ht="12.75">
      <c r="A35" s="215" t="s">
        <v>65</v>
      </c>
      <c r="B35" s="216"/>
      <c r="C35" s="216"/>
      <c r="D35" s="216"/>
      <c r="E35" s="216"/>
      <c r="F35" s="216"/>
      <c r="G35" s="216"/>
      <c r="H35" s="217"/>
      <c r="I35" s="1">
        <v>139</v>
      </c>
      <c r="J35" s="7">
        <v>322437</v>
      </c>
      <c r="K35" s="7">
        <f>J35-104845</f>
        <v>217592</v>
      </c>
      <c r="L35" s="7">
        <v>560541</v>
      </c>
      <c r="M35" s="7">
        <f>L35-205736</f>
        <v>354805</v>
      </c>
    </row>
    <row r="36" spans="1:13" ht="12.75">
      <c r="A36" s="215" t="s">
        <v>224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/>
      <c r="K36" s="7"/>
      <c r="L36" s="7"/>
      <c r="M36" s="7"/>
    </row>
    <row r="37" spans="1:13" ht="12.75">
      <c r="A37" s="215" t="s">
        <v>67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>
        <v>8344</v>
      </c>
      <c r="K37" s="7">
        <f>J37-1431</f>
        <v>6913</v>
      </c>
      <c r="L37" s="7">
        <v>2458</v>
      </c>
      <c r="M37" s="7">
        <f>L37-0</f>
        <v>2458</v>
      </c>
    </row>
    <row r="38" spans="1:13" ht="12.75">
      <c r="A38" s="215" t="s">
        <v>195</v>
      </c>
      <c r="B38" s="216"/>
      <c r="C38" s="216"/>
      <c r="D38" s="216"/>
      <c r="E38" s="216"/>
      <c r="F38" s="216"/>
      <c r="G38" s="216"/>
      <c r="H38" s="217"/>
      <c r="I38" s="1">
        <v>142</v>
      </c>
      <c r="J38" s="7"/>
      <c r="K38" s="7"/>
      <c r="L38" s="7"/>
      <c r="M38" s="7"/>
    </row>
    <row r="39" spans="1:13" ht="12.75">
      <c r="A39" s="215" t="s">
        <v>196</v>
      </c>
      <c r="B39" s="216"/>
      <c r="C39" s="216"/>
      <c r="D39" s="216"/>
      <c r="E39" s="216"/>
      <c r="F39" s="216"/>
      <c r="G39" s="216"/>
      <c r="H39" s="217"/>
      <c r="I39" s="1">
        <v>143</v>
      </c>
      <c r="J39" s="7"/>
      <c r="K39" s="7"/>
      <c r="L39" s="7"/>
      <c r="M39" s="7"/>
    </row>
    <row r="40" spans="1:13" ht="12.75">
      <c r="A40" s="215" t="s">
        <v>225</v>
      </c>
      <c r="B40" s="216"/>
      <c r="C40" s="216"/>
      <c r="D40" s="216"/>
      <c r="E40" s="216"/>
      <c r="F40" s="216"/>
      <c r="G40" s="216"/>
      <c r="H40" s="217"/>
      <c r="I40" s="1">
        <v>144</v>
      </c>
      <c r="J40" s="7"/>
      <c r="K40" s="7"/>
      <c r="L40" s="7"/>
      <c r="M40" s="7"/>
    </row>
    <row r="41" spans="1:13" ht="12.75">
      <c r="A41" s="215" t="s">
        <v>226</v>
      </c>
      <c r="B41" s="216"/>
      <c r="C41" s="216"/>
      <c r="D41" s="216"/>
      <c r="E41" s="216"/>
      <c r="F41" s="216"/>
      <c r="G41" s="216"/>
      <c r="H41" s="217"/>
      <c r="I41" s="1">
        <v>145</v>
      </c>
      <c r="J41" s="7"/>
      <c r="K41" s="7"/>
      <c r="L41" s="7"/>
      <c r="M41" s="7"/>
    </row>
    <row r="42" spans="1:15" ht="12.75">
      <c r="A42" s="215" t="s">
        <v>215</v>
      </c>
      <c r="B42" s="216"/>
      <c r="C42" s="216"/>
      <c r="D42" s="216"/>
      <c r="E42" s="216"/>
      <c r="F42" s="216"/>
      <c r="G42" s="216"/>
      <c r="H42" s="217"/>
      <c r="I42" s="1">
        <v>146</v>
      </c>
      <c r="J42" s="54">
        <f>J7+J27+J38+J40</f>
        <v>28383264</v>
      </c>
      <c r="K42" s="54">
        <f>K7+K27+K38+K40</f>
        <v>16241852</v>
      </c>
      <c r="L42" s="54">
        <f>L7+L27+L38+L40</f>
        <v>26381977</v>
      </c>
      <c r="M42" s="54">
        <f>M7+M27+M38+M40</f>
        <v>15226894</v>
      </c>
      <c r="N42" s="132"/>
      <c r="O42" s="132"/>
    </row>
    <row r="43" spans="1:15" ht="12.75">
      <c r="A43" s="215" t="s">
        <v>216</v>
      </c>
      <c r="B43" s="216"/>
      <c r="C43" s="216"/>
      <c r="D43" s="216"/>
      <c r="E43" s="216"/>
      <c r="F43" s="216"/>
      <c r="G43" s="216"/>
      <c r="H43" s="217"/>
      <c r="I43" s="1">
        <v>147</v>
      </c>
      <c r="J43" s="54">
        <f>J10+J33+J39+J41</f>
        <v>33688335</v>
      </c>
      <c r="K43" s="54">
        <f>K10+K33+K39+K41</f>
        <v>17868109</v>
      </c>
      <c r="L43" s="54">
        <f>L10+L33+L39+L41</f>
        <v>31908533</v>
      </c>
      <c r="M43" s="54">
        <f>M10+M33+M39+M41</f>
        <v>17804476</v>
      </c>
      <c r="N43" s="132"/>
      <c r="O43" s="132"/>
    </row>
    <row r="44" spans="1:15" ht="12.75">
      <c r="A44" s="215" t="s">
        <v>236</v>
      </c>
      <c r="B44" s="216"/>
      <c r="C44" s="216"/>
      <c r="D44" s="216"/>
      <c r="E44" s="216"/>
      <c r="F44" s="216"/>
      <c r="G44" s="216"/>
      <c r="H44" s="217"/>
      <c r="I44" s="1">
        <v>148</v>
      </c>
      <c r="J44" s="54">
        <f>J42-J43</f>
        <v>-5305071</v>
      </c>
      <c r="K44" s="54">
        <f>K42-K43</f>
        <v>-1626257</v>
      </c>
      <c r="L44" s="54">
        <f>L42-L43</f>
        <v>-5526556</v>
      </c>
      <c r="M44" s="54">
        <f>M42-M43</f>
        <v>-2577582</v>
      </c>
      <c r="O44" s="132"/>
    </row>
    <row r="45" spans="1:13" ht="12.75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0</v>
      </c>
      <c r="M45" s="54">
        <f>IF(M42&gt;M43,M42-M43,0)</f>
        <v>0</v>
      </c>
    </row>
    <row r="46" spans="1:14" ht="12.75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4">
        <f>IF(J43&gt;J42,J43-J42,0)</f>
        <v>5305071</v>
      </c>
      <c r="K46" s="54">
        <f>IF(K43&gt;K42,K43-K42,0)</f>
        <v>1626257</v>
      </c>
      <c r="L46" s="54">
        <f>IF(L43&gt;L42,L43-L42,0)</f>
        <v>5526556</v>
      </c>
      <c r="M46" s="54">
        <f>IF(M43&gt;M42,M43-M42,0)</f>
        <v>2577582</v>
      </c>
      <c r="N46" s="132"/>
    </row>
    <row r="47" spans="1:13" ht="12.75">
      <c r="A47" s="215" t="s">
        <v>217</v>
      </c>
      <c r="B47" s="216"/>
      <c r="C47" s="216"/>
      <c r="D47" s="216"/>
      <c r="E47" s="216"/>
      <c r="F47" s="216"/>
      <c r="G47" s="216"/>
      <c r="H47" s="217"/>
      <c r="I47" s="1">
        <v>151</v>
      </c>
      <c r="J47" s="7"/>
      <c r="K47" s="7"/>
      <c r="L47" s="7"/>
      <c r="M47" s="7"/>
    </row>
    <row r="48" spans="1:13" ht="12.75">
      <c r="A48" s="215" t="s">
        <v>237</v>
      </c>
      <c r="B48" s="216"/>
      <c r="C48" s="216"/>
      <c r="D48" s="216"/>
      <c r="E48" s="216"/>
      <c r="F48" s="216"/>
      <c r="G48" s="216"/>
      <c r="H48" s="217"/>
      <c r="I48" s="1">
        <v>152</v>
      </c>
      <c r="J48" s="54">
        <f>J44-J47</f>
        <v>-5305071</v>
      </c>
      <c r="K48" s="54">
        <f>K44-K47</f>
        <v>-1626257</v>
      </c>
      <c r="L48" s="54">
        <f>L44-L47</f>
        <v>-5526556</v>
      </c>
      <c r="M48" s="54">
        <f>M44-M47</f>
        <v>-2577582</v>
      </c>
    </row>
    <row r="49" spans="1:13" ht="12.75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0</v>
      </c>
      <c r="M49" s="54">
        <f>IF(M48&gt;0,M48,0)</f>
        <v>0</v>
      </c>
    </row>
    <row r="50" spans="1:15" ht="12.75">
      <c r="A50" s="255" t="s">
        <v>220</v>
      </c>
      <c r="B50" s="256"/>
      <c r="C50" s="256"/>
      <c r="D50" s="256"/>
      <c r="E50" s="256"/>
      <c r="F50" s="256"/>
      <c r="G50" s="256"/>
      <c r="H50" s="257"/>
      <c r="I50" s="2">
        <v>154</v>
      </c>
      <c r="J50" s="62">
        <f>IF(J48&lt;0,-J48,0)</f>
        <v>5305071</v>
      </c>
      <c r="K50" s="62">
        <f>IF(K48&lt;0,-K48,0)</f>
        <v>1626257</v>
      </c>
      <c r="L50" s="62">
        <f>IF(L48&lt;0,-L48,0)</f>
        <v>5526556</v>
      </c>
      <c r="M50" s="62">
        <f>IF(M48&lt;0,-M48,0)</f>
        <v>2577582</v>
      </c>
      <c r="N50" s="132"/>
      <c r="O50" s="132"/>
    </row>
    <row r="51" spans="1:13" ht="12.75" customHeight="1">
      <c r="A51" s="204" t="s">
        <v>312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</row>
    <row r="52" spans="1:13" ht="12.75" customHeight="1">
      <c r="A52" s="208" t="s">
        <v>187</v>
      </c>
      <c r="B52" s="209"/>
      <c r="C52" s="209"/>
      <c r="D52" s="209"/>
      <c r="E52" s="209"/>
      <c r="F52" s="209"/>
      <c r="G52" s="209"/>
      <c r="H52" s="209"/>
      <c r="I52" s="56"/>
      <c r="J52" s="56"/>
      <c r="K52" s="56"/>
      <c r="L52" s="56"/>
      <c r="M52" s="63"/>
    </row>
    <row r="53" spans="1:13" ht="12.75">
      <c r="A53" s="252" t="s">
        <v>234</v>
      </c>
      <c r="B53" s="253"/>
      <c r="C53" s="253"/>
      <c r="D53" s="253"/>
      <c r="E53" s="253"/>
      <c r="F53" s="253"/>
      <c r="G53" s="253"/>
      <c r="H53" s="254"/>
      <c r="I53" s="1">
        <v>155</v>
      </c>
      <c r="J53" s="7">
        <f>J48</f>
        <v>-5305071</v>
      </c>
      <c r="K53" s="7">
        <f>K48</f>
        <v>-1626257</v>
      </c>
      <c r="L53" s="7">
        <f>L48</f>
        <v>-5526556</v>
      </c>
      <c r="M53" s="7">
        <f>M48</f>
        <v>-2577582</v>
      </c>
    </row>
    <row r="54" spans="1:13" ht="12.75">
      <c r="A54" s="252" t="s">
        <v>235</v>
      </c>
      <c r="B54" s="253"/>
      <c r="C54" s="253"/>
      <c r="D54" s="253"/>
      <c r="E54" s="253"/>
      <c r="F54" s="253"/>
      <c r="G54" s="253"/>
      <c r="H54" s="254"/>
      <c r="I54" s="1">
        <v>156</v>
      </c>
      <c r="J54" s="8"/>
      <c r="K54" s="8"/>
      <c r="L54" s="8"/>
      <c r="M54" s="8"/>
    </row>
    <row r="55" spans="1:13" ht="12.75" customHeight="1">
      <c r="A55" s="204" t="s">
        <v>189</v>
      </c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</row>
    <row r="56" spans="1:13" ht="12.75">
      <c r="A56" s="208" t="s">
        <v>204</v>
      </c>
      <c r="B56" s="209"/>
      <c r="C56" s="209"/>
      <c r="D56" s="209"/>
      <c r="E56" s="209"/>
      <c r="F56" s="209"/>
      <c r="G56" s="209"/>
      <c r="H56" s="226"/>
      <c r="I56" s="9">
        <v>157</v>
      </c>
      <c r="J56" s="6"/>
      <c r="K56" s="6"/>
      <c r="L56" s="6"/>
      <c r="M56" s="6"/>
    </row>
    <row r="57" spans="1:13" ht="12.75">
      <c r="A57" s="215" t="s">
        <v>221</v>
      </c>
      <c r="B57" s="216"/>
      <c r="C57" s="216"/>
      <c r="D57" s="216"/>
      <c r="E57" s="216"/>
      <c r="F57" s="216"/>
      <c r="G57" s="216"/>
      <c r="H57" s="217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15" t="s">
        <v>228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/>
      <c r="K58" s="7"/>
      <c r="L58" s="7"/>
      <c r="M58" s="7"/>
    </row>
    <row r="59" spans="1:13" ht="12.75">
      <c r="A59" s="215" t="s">
        <v>229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/>
      <c r="K59" s="7"/>
      <c r="L59" s="7"/>
      <c r="M59" s="7"/>
    </row>
    <row r="60" spans="1:13" ht="12.75">
      <c r="A60" s="215" t="s">
        <v>45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/>
      <c r="K60" s="7"/>
      <c r="L60" s="7"/>
      <c r="M60" s="7"/>
    </row>
    <row r="61" spans="1:13" ht="12.75">
      <c r="A61" s="215" t="s">
        <v>230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/>
      <c r="K61" s="7"/>
      <c r="L61" s="7"/>
      <c r="M61" s="7"/>
    </row>
    <row r="62" spans="1:13" ht="12.75">
      <c r="A62" s="215" t="s">
        <v>231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/>
      <c r="K62" s="7"/>
      <c r="L62" s="7"/>
      <c r="M62" s="7"/>
    </row>
    <row r="63" spans="1:13" ht="12.75">
      <c r="A63" s="215" t="s">
        <v>232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/>
      <c r="K63" s="7"/>
      <c r="L63" s="7"/>
      <c r="M63" s="7"/>
    </row>
    <row r="64" spans="1:13" ht="12.75">
      <c r="A64" s="215" t="s">
        <v>233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/>
      <c r="K64" s="7"/>
      <c r="L64" s="7"/>
      <c r="M64" s="7"/>
    </row>
    <row r="65" spans="1:13" ht="12.75">
      <c r="A65" s="215" t="s">
        <v>222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/>
      <c r="K65" s="7"/>
      <c r="L65" s="7"/>
      <c r="M65" s="7"/>
    </row>
    <row r="66" spans="1:13" ht="12.75">
      <c r="A66" s="215" t="s">
        <v>193</v>
      </c>
      <c r="B66" s="216"/>
      <c r="C66" s="216"/>
      <c r="D66" s="216"/>
      <c r="E66" s="216"/>
      <c r="F66" s="216"/>
      <c r="G66" s="216"/>
      <c r="H66" s="217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15" t="s">
        <v>194</v>
      </c>
      <c r="B67" s="216"/>
      <c r="C67" s="216"/>
      <c r="D67" s="216"/>
      <c r="E67" s="216"/>
      <c r="F67" s="216"/>
      <c r="G67" s="216"/>
      <c r="H67" s="217"/>
      <c r="I67" s="1">
        <v>168</v>
      </c>
      <c r="J67" s="62">
        <f>J56+J66</f>
        <v>0</v>
      </c>
      <c r="K67" s="62">
        <f>K56+K66</f>
        <v>0</v>
      </c>
      <c r="L67" s="62">
        <f>L56+L66</f>
        <v>0</v>
      </c>
      <c r="M67" s="62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52" t="s">
        <v>234</v>
      </c>
      <c r="B70" s="253"/>
      <c r="C70" s="253"/>
      <c r="D70" s="253"/>
      <c r="E70" s="253"/>
      <c r="F70" s="253"/>
      <c r="G70" s="253"/>
      <c r="H70" s="254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K66:M67 J56:J67 K56:L56 K57:M57 K58:L65 J53:J54 K54:L54 K53:M5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52"/>
  <sheetViews>
    <sheetView view="pageBreakPreview" zoomScale="110" zoomScaleSheetLayoutView="110" workbookViewId="0" topLeftCell="A33">
      <selection activeCell="K52" sqref="K52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348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349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7" t="s">
        <v>279</v>
      </c>
      <c r="J4" s="68" t="s">
        <v>319</v>
      </c>
      <c r="K4" s="68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9">
        <v>2</v>
      </c>
      <c r="J5" s="70" t="s">
        <v>283</v>
      </c>
      <c r="K5" s="70" t="s">
        <v>284</v>
      </c>
    </row>
    <row r="6" spans="1:11" ht="12.75">
      <c r="A6" s="204" t="s">
        <v>156</v>
      </c>
      <c r="B6" s="205"/>
      <c r="C6" s="205"/>
      <c r="D6" s="205"/>
      <c r="E6" s="205"/>
      <c r="F6" s="205"/>
      <c r="G6" s="205"/>
      <c r="H6" s="205"/>
      <c r="I6" s="261"/>
      <c r="J6" s="261"/>
      <c r="K6" s="262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133">
        <f>-RDG!J46</f>
        <v>-5305071</v>
      </c>
      <c r="K7" s="134">
        <f>-RDG!L46</f>
        <v>-5526556</v>
      </c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5">
        <f>RDG!J20</f>
        <v>2716689</v>
      </c>
      <c r="K8" s="7">
        <f>RDG!L20</f>
        <v>2856967</v>
      </c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5">
        <v>2410219</v>
      </c>
      <c r="K9" s="7">
        <v>5794220</v>
      </c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5">
        <v>915778</v>
      </c>
      <c r="K11" s="7"/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5"/>
      <c r="K12" s="7">
        <v>804784</v>
      </c>
    </row>
    <row r="13" spans="1:11" ht="12.75">
      <c r="A13" s="215" t="s">
        <v>157</v>
      </c>
      <c r="B13" s="216"/>
      <c r="C13" s="216"/>
      <c r="D13" s="216"/>
      <c r="E13" s="216"/>
      <c r="F13" s="216"/>
      <c r="G13" s="216"/>
      <c r="H13" s="216"/>
      <c r="I13" s="1">
        <v>7</v>
      </c>
      <c r="J13" s="135">
        <f>SUM(J7:J12)</f>
        <v>737615</v>
      </c>
      <c r="K13" s="130">
        <f>SUM(K7:K12)</f>
        <v>3929415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v>1485004</v>
      </c>
      <c r="K15" s="7">
        <v>1399194</v>
      </c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>
        <v>965269</v>
      </c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730217</v>
      </c>
      <c r="K17" s="7"/>
    </row>
    <row r="18" spans="1:11" ht="12.75">
      <c r="A18" s="215" t="s">
        <v>158</v>
      </c>
      <c r="B18" s="216"/>
      <c r="C18" s="216"/>
      <c r="D18" s="216"/>
      <c r="E18" s="216"/>
      <c r="F18" s="216"/>
      <c r="G18" s="216"/>
      <c r="H18" s="216"/>
      <c r="I18" s="1">
        <v>12</v>
      </c>
      <c r="J18" s="135">
        <f>SUM(J14:J17)</f>
        <v>2215221</v>
      </c>
      <c r="K18" s="130">
        <f>SUM(K14:K17)</f>
        <v>2364463</v>
      </c>
    </row>
    <row r="19" spans="1:11" ht="12.75">
      <c r="A19" s="215" t="s">
        <v>36</v>
      </c>
      <c r="B19" s="216"/>
      <c r="C19" s="216"/>
      <c r="D19" s="216"/>
      <c r="E19" s="216"/>
      <c r="F19" s="216"/>
      <c r="G19" s="216"/>
      <c r="H19" s="216"/>
      <c r="I19" s="1">
        <v>13</v>
      </c>
      <c r="J19" s="135">
        <f>IF(J13&gt;J18,J13-J18,0)</f>
        <v>0</v>
      </c>
      <c r="K19" s="130">
        <f>IF(K13&gt;K18,K13-K18,0)</f>
        <v>1564952</v>
      </c>
    </row>
    <row r="20" spans="1:11" ht="12.75">
      <c r="A20" s="215" t="s">
        <v>37</v>
      </c>
      <c r="B20" s="216"/>
      <c r="C20" s="216"/>
      <c r="D20" s="216"/>
      <c r="E20" s="216"/>
      <c r="F20" s="216"/>
      <c r="G20" s="216"/>
      <c r="H20" s="216"/>
      <c r="I20" s="1">
        <v>14</v>
      </c>
      <c r="J20" s="135">
        <f>IF(J18&gt;J13,J18-J13,0)</f>
        <v>1477606</v>
      </c>
      <c r="K20" s="130">
        <f>IF(K18&gt;K13,K18-K13,0)</f>
        <v>0</v>
      </c>
    </row>
    <row r="21" spans="1:11" ht="12.75">
      <c r="A21" s="204" t="s">
        <v>159</v>
      </c>
      <c r="B21" s="205"/>
      <c r="C21" s="205"/>
      <c r="D21" s="205"/>
      <c r="E21" s="205"/>
      <c r="F21" s="205"/>
      <c r="G21" s="205"/>
      <c r="H21" s="205"/>
      <c r="I21" s="261"/>
      <c r="J21" s="261"/>
      <c r="K21" s="262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/>
      <c r="K22" s="7"/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>
        <v>2745883</v>
      </c>
      <c r="K23" s="7">
        <v>1943197</v>
      </c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5" t="s">
        <v>168</v>
      </c>
      <c r="B27" s="216"/>
      <c r="C27" s="216"/>
      <c r="D27" s="216"/>
      <c r="E27" s="216"/>
      <c r="F27" s="216"/>
      <c r="G27" s="216"/>
      <c r="H27" s="216"/>
      <c r="I27" s="1">
        <v>20</v>
      </c>
      <c r="J27" s="135">
        <f>SUM(J22:J26)</f>
        <v>2745883</v>
      </c>
      <c r="K27" s="130">
        <f>SUM(K22:K26)</f>
        <v>1943197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>
        <v>851887</v>
      </c>
      <c r="K28" s="7">
        <v>3528603</v>
      </c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135">
        <f>SUM(J28:J30)</f>
        <v>851887</v>
      </c>
      <c r="K31" s="130">
        <f>SUM(K28:K30)</f>
        <v>3528603</v>
      </c>
    </row>
    <row r="32" spans="1:11" ht="12.75">
      <c r="A32" s="215" t="s">
        <v>38</v>
      </c>
      <c r="B32" s="216"/>
      <c r="C32" s="216"/>
      <c r="D32" s="216"/>
      <c r="E32" s="216"/>
      <c r="F32" s="216"/>
      <c r="G32" s="216"/>
      <c r="H32" s="216"/>
      <c r="I32" s="1">
        <v>25</v>
      </c>
      <c r="J32" s="135">
        <f>IF(J27&gt;J31,J27-J31,0)</f>
        <v>1893996</v>
      </c>
      <c r="K32" s="130">
        <f>IF(K27&gt;K31,K27-K31,0)</f>
        <v>0</v>
      </c>
    </row>
    <row r="33" spans="1:11" ht="12.75">
      <c r="A33" s="215" t="s">
        <v>39</v>
      </c>
      <c r="B33" s="216"/>
      <c r="C33" s="216"/>
      <c r="D33" s="216"/>
      <c r="E33" s="216"/>
      <c r="F33" s="216"/>
      <c r="G33" s="216"/>
      <c r="H33" s="216"/>
      <c r="I33" s="1">
        <v>26</v>
      </c>
      <c r="J33" s="135">
        <f>IF(J31&gt;J27,J31-J27,0)</f>
        <v>0</v>
      </c>
      <c r="K33" s="130">
        <f>IF(K31&gt;K27,K31-K27,0)</f>
        <v>1585406</v>
      </c>
    </row>
    <row r="34" spans="1:11" ht="12.75">
      <c r="A34" s="204" t="s">
        <v>160</v>
      </c>
      <c r="B34" s="205"/>
      <c r="C34" s="205"/>
      <c r="D34" s="205"/>
      <c r="E34" s="205"/>
      <c r="F34" s="205"/>
      <c r="G34" s="205"/>
      <c r="H34" s="205"/>
      <c r="I34" s="261"/>
      <c r="J34" s="261"/>
      <c r="K34" s="262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>
        <v>73714</v>
      </c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>
        <v>169491</v>
      </c>
      <c r="K37" s="7"/>
    </row>
    <row r="38" spans="1:11" ht="12.75">
      <c r="A38" s="215" t="s">
        <v>68</v>
      </c>
      <c r="B38" s="216"/>
      <c r="C38" s="216"/>
      <c r="D38" s="216"/>
      <c r="E38" s="216"/>
      <c r="F38" s="216"/>
      <c r="G38" s="216"/>
      <c r="H38" s="216"/>
      <c r="I38" s="1">
        <v>30</v>
      </c>
      <c r="J38" s="135">
        <f>SUM(J35:J37)</f>
        <v>169491</v>
      </c>
      <c r="K38" s="130">
        <f>SUM(K35:K37)</f>
        <v>73714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/>
      <c r="K39" s="7"/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>
        <v>2</v>
      </c>
    </row>
    <row r="44" spans="1:11" ht="12.75">
      <c r="A44" s="215" t="s">
        <v>69</v>
      </c>
      <c r="B44" s="216"/>
      <c r="C44" s="216"/>
      <c r="D44" s="216"/>
      <c r="E44" s="216"/>
      <c r="F44" s="216"/>
      <c r="G44" s="216"/>
      <c r="H44" s="216"/>
      <c r="I44" s="1">
        <v>36</v>
      </c>
      <c r="J44" s="135">
        <f>SUM(J39:J43)</f>
        <v>0</v>
      </c>
      <c r="K44" s="130">
        <f>SUM(K39:K43)</f>
        <v>2</v>
      </c>
    </row>
    <row r="45" spans="1:11" ht="12.75">
      <c r="A45" s="215" t="s">
        <v>17</v>
      </c>
      <c r="B45" s="216"/>
      <c r="C45" s="216"/>
      <c r="D45" s="216"/>
      <c r="E45" s="216"/>
      <c r="F45" s="216"/>
      <c r="G45" s="216"/>
      <c r="H45" s="216"/>
      <c r="I45" s="1">
        <v>37</v>
      </c>
      <c r="J45" s="135">
        <f>IF(J38&gt;J44,J38-J44,0)</f>
        <v>169491</v>
      </c>
      <c r="K45" s="130">
        <f>IF(K38&gt;K44,K38-K44,0)</f>
        <v>73712</v>
      </c>
    </row>
    <row r="46" spans="1:11" ht="12.75">
      <c r="A46" s="215" t="s">
        <v>18</v>
      </c>
      <c r="B46" s="216"/>
      <c r="C46" s="216"/>
      <c r="D46" s="216"/>
      <c r="E46" s="216"/>
      <c r="F46" s="216"/>
      <c r="G46" s="216"/>
      <c r="H46" s="216"/>
      <c r="I46" s="1">
        <v>38</v>
      </c>
      <c r="J46" s="135">
        <f>IF(J44&gt;J38,J44-J38,0)</f>
        <v>0</v>
      </c>
      <c r="K46" s="130">
        <f>IF(K44&gt;K38,K44-K38,0)</f>
        <v>0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5">
        <f>IF(J19-J20+J32-J33+J45-J46&gt;0,J19-J20+J32-J33+J45-J46,0)</f>
        <v>585881</v>
      </c>
      <c r="K47" s="54">
        <f>IF(K19-K20+K32-K33+K45-K46&gt;0,K19-K20+K32-K33+K45-K46,0)</f>
        <v>53258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0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777330</v>
      </c>
      <c r="K49" s="7">
        <f>Bilanca!J64</f>
        <v>803515</v>
      </c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>
        <f>J47</f>
        <v>585881</v>
      </c>
      <c r="K50" s="7">
        <f>K47</f>
        <v>53258</v>
      </c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2" ht="12.75">
      <c r="A52" s="218" t="s">
        <v>177</v>
      </c>
      <c r="B52" s="219"/>
      <c r="C52" s="219"/>
      <c r="D52" s="219"/>
      <c r="E52" s="219"/>
      <c r="F52" s="219"/>
      <c r="G52" s="219"/>
      <c r="H52" s="219"/>
      <c r="I52" s="4">
        <v>44</v>
      </c>
      <c r="J52" s="66">
        <f>J49+J50-J51</f>
        <v>1363211</v>
      </c>
      <c r="K52" s="62">
        <f>K49+K50-K51</f>
        <v>856773</v>
      </c>
      <c r="L52" s="132"/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J14" sqref="J14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6" t="s">
        <v>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5" t="s">
        <v>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7" t="s">
        <v>279</v>
      </c>
      <c r="J4" s="68" t="s">
        <v>319</v>
      </c>
      <c r="K4" s="68" t="s">
        <v>320</v>
      </c>
    </row>
    <row r="5" spans="1:11" ht="12.75">
      <c r="A5" s="274">
        <v>1</v>
      </c>
      <c r="B5" s="274"/>
      <c r="C5" s="274"/>
      <c r="D5" s="274"/>
      <c r="E5" s="274"/>
      <c r="F5" s="274"/>
      <c r="G5" s="274"/>
      <c r="H5" s="274"/>
      <c r="I5" s="73">
        <v>2</v>
      </c>
      <c r="J5" s="74" t="s">
        <v>283</v>
      </c>
      <c r="K5" s="74" t="s">
        <v>284</v>
      </c>
    </row>
    <row r="6" spans="1:11" ht="12.75">
      <c r="A6" s="204" t="s">
        <v>156</v>
      </c>
      <c r="B6" s="205"/>
      <c r="C6" s="205"/>
      <c r="D6" s="205"/>
      <c r="E6" s="205"/>
      <c r="F6" s="205"/>
      <c r="G6" s="205"/>
      <c r="H6" s="205"/>
      <c r="I6" s="261"/>
      <c r="J6" s="261"/>
      <c r="K6" s="262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15" t="s">
        <v>198</v>
      </c>
      <c r="B12" s="216"/>
      <c r="C12" s="216"/>
      <c r="D12" s="216"/>
      <c r="E12" s="216"/>
      <c r="F12" s="216"/>
      <c r="G12" s="216"/>
      <c r="H12" s="216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15" t="s">
        <v>47</v>
      </c>
      <c r="B19" s="216"/>
      <c r="C19" s="216"/>
      <c r="D19" s="216"/>
      <c r="E19" s="216"/>
      <c r="F19" s="216"/>
      <c r="G19" s="216"/>
      <c r="H19" s="216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15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7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04" t="s">
        <v>159</v>
      </c>
      <c r="B22" s="205"/>
      <c r="C22" s="205"/>
      <c r="D22" s="205"/>
      <c r="E22" s="205"/>
      <c r="F22" s="205"/>
      <c r="G22" s="205"/>
      <c r="H22" s="205"/>
      <c r="I22" s="261"/>
      <c r="J22" s="261"/>
      <c r="K22" s="262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15" t="s">
        <v>114</v>
      </c>
      <c r="B28" s="216"/>
      <c r="C28" s="216"/>
      <c r="D28" s="216"/>
      <c r="E28" s="216"/>
      <c r="F28" s="216"/>
      <c r="G28" s="216"/>
      <c r="H28" s="216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15" t="s">
        <v>48</v>
      </c>
      <c r="B32" s="216"/>
      <c r="C32" s="216"/>
      <c r="D32" s="216"/>
      <c r="E32" s="216"/>
      <c r="F32" s="216"/>
      <c r="G32" s="216"/>
      <c r="H32" s="216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15" t="s">
        <v>110</v>
      </c>
      <c r="B33" s="216"/>
      <c r="C33" s="216"/>
      <c r="D33" s="216"/>
      <c r="E33" s="216"/>
      <c r="F33" s="216"/>
      <c r="G33" s="216"/>
      <c r="H33" s="216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15" t="s">
        <v>111</v>
      </c>
      <c r="B34" s="216"/>
      <c r="C34" s="216"/>
      <c r="D34" s="216"/>
      <c r="E34" s="216"/>
      <c r="F34" s="216"/>
      <c r="G34" s="216"/>
      <c r="H34" s="216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04" t="s">
        <v>160</v>
      </c>
      <c r="B35" s="205"/>
      <c r="C35" s="205"/>
      <c r="D35" s="205"/>
      <c r="E35" s="205"/>
      <c r="F35" s="205"/>
      <c r="G35" s="205"/>
      <c r="H35" s="205"/>
      <c r="I35" s="261">
        <v>0</v>
      </c>
      <c r="J35" s="261"/>
      <c r="K35" s="262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15" t="s">
        <v>49</v>
      </c>
      <c r="B39" s="216"/>
      <c r="C39" s="216"/>
      <c r="D39" s="216"/>
      <c r="E39" s="216"/>
      <c r="F39" s="216"/>
      <c r="G39" s="216"/>
      <c r="H39" s="216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15" t="s">
        <v>148</v>
      </c>
      <c r="B45" s="216"/>
      <c r="C45" s="216"/>
      <c r="D45" s="216"/>
      <c r="E45" s="216"/>
      <c r="F45" s="216"/>
      <c r="G45" s="216"/>
      <c r="H45" s="216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15" t="s">
        <v>162</v>
      </c>
      <c r="B46" s="216"/>
      <c r="C46" s="216"/>
      <c r="D46" s="216"/>
      <c r="E46" s="216"/>
      <c r="F46" s="216"/>
      <c r="G46" s="216"/>
      <c r="H46" s="216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15" t="s">
        <v>163</v>
      </c>
      <c r="B47" s="216"/>
      <c r="C47" s="216"/>
      <c r="D47" s="216"/>
      <c r="E47" s="216"/>
      <c r="F47" s="216"/>
      <c r="G47" s="216"/>
      <c r="H47" s="216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15" t="s">
        <v>149</v>
      </c>
      <c r="B48" s="216"/>
      <c r="C48" s="216"/>
      <c r="D48" s="216"/>
      <c r="E48" s="216"/>
      <c r="F48" s="216"/>
      <c r="G48" s="216"/>
      <c r="H48" s="216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15" t="s">
        <v>15</v>
      </c>
      <c r="B49" s="216"/>
      <c r="C49" s="216"/>
      <c r="D49" s="216"/>
      <c r="E49" s="216"/>
      <c r="F49" s="216"/>
      <c r="G49" s="216"/>
      <c r="H49" s="216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15" t="s">
        <v>161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175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15" t="s">
        <v>176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>
      <c r="A53" s="227" t="s">
        <v>177</v>
      </c>
      <c r="B53" s="228"/>
      <c r="C53" s="228"/>
      <c r="D53" s="228"/>
      <c r="E53" s="228"/>
      <c r="F53" s="228"/>
      <c r="G53" s="228"/>
      <c r="H53" s="228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J20" sqref="J20"/>
    </sheetView>
  </sheetViews>
  <sheetFormatPr defaultColWidth="9.140625" defaultRowHeight="12.75"/>
  <cols>
    <col min="1" max="4" width="9.140625" style="77" customWidth="1"/>
    <col min="5" max="5" width="10.140625" style="77" bestFit="1" customWidth="1"/>
    <col min="6" max="9" width="9.140625" style="77" customWidth="1"/>
    <col min="10" max="11" width="9.57421875" style="77" bestFit="1" customWidth="1"/>
    <col min="12" max="16384" width="9.140625" style="77" customWidth="1"/>
  </cols>
  <sheetData>
    <row r="1" spans="1:12" ht="12.75">
      <c r="A1" s="292" t="s">
        <v>281</v>
      </c>
      <c r="B1" s="293"/>
      <c r="C1" s="293"/>
      <c r="D1" s="293"/>
      <c r="E1" s="293"/>
      <c r="F1" s="293"/>
      <c r="G1" s="293"/>
      <c r="H1" s="293"/>
      <c r="I1" s="293"/>
      <c r="J1" s="293"/>
      <c r="K1" s="294"/>
      <c r="L1" s="76"/>
    </row>
    <row r="2" spans="1:12" ht="15.75">
      <c r="A2" s="43"/>
      <c r="B2" s="75"/>
      <c r="C2" s="277" t="s">
        <v>282</v>
      </c>
      <c r="D2" s="277"/>
      <c r="E2" s="78">
        <v>40544</v>
      </c>
      <c r="F2" s="44" t="s">
        <v>250</v>
      </c>
      <c r="G2" s="278">
        <v>40724</v>
      </c>
      <c r="H2" s="279"/>
      <c r="I2" s="75"/>
      <c r="J2" s="75"/>
      <c r="K2" s="75"/>
      <c r="L2" s="79"/>
    </row>
    <row r="3" spans="1:11" ht="23.25">
      <c r="A3" s="280" t="s">
        <v>59</v>
      </c>
      <c r="B3" s="280"/>
      <c r="C3" s="280"/>
      <c r="D3" s="280"/>
      <c r="E3" s="280"/>
      <c r="F3" s="280"/>
      <c r="G3" s="280"/>
      <c r="H3" s="280"/>
      <c r="I3" s="81" t="s">
        <v>305</v>
      </c>
      <c r="J3" s="82" t="s">
        <v>150</v>
      </c>
      <c r="K3" s="82" t="s">
        <v>151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84">
        <v>2</v>
      </c>
      <c r="J4" s="83" t="s">
        <v>283</v>
      </c>
      <c r="K4" s="83" t="s">
        <v>284</v>
      </c>
    </row>
    <row r="5" spans="1:11" ht="12.75">
      <c r="A5" s="282" t="s">
        <v>285</v>
      </c>
      <c r="B5" s="283"/>
      <c r="C5" s="283"/>
      <c r="D5" s="283"/>
      <c r="E5" s="283"/>
      <c r="F5" s="283"/>
      <c r="G5" s="283"/>
      <c r="H5" s="283"/>
      <c r="I5" s="45">
        <v>1</v>
      </c>
      <c r="J5" s="46">
        <f>Bilanca!J70</f>
        <v>102678147</v>
      </c>
      <c r="K5" s="46">
        <f>Bilanca!K70</f>
        <v>102678147</v>
      </c>
    </row>
    <row r="6" spans="1:11" ht="12.75">
      <c r="A6" s="282" t="s">
        <v>286</v>
      </c>
      <c r="B6" s="283"/>
      <c r="C6" s="283"/>
      <c r="D6" s="283"/>
      <c r="E6" s="283"/>
      <c r="F6" s="283"/>
      <c r="G6" s="283"/>
      <c r="H6" s="283"/>
      <c r="I6" s="45">
        <v>2</v>
      </c>
      <c r="J6" s="47"/>
      <c r="K6" s="47"/>
    </row>
    <row r="7" spans="1:11" ht="12.75">
      <c r="A7" s="282" t="s">
        <v>287</v>
      </c>
      <c r="B7" s="283"/>
      <c r="C7" s="283"/>
      <c r="D7" s="283"/>
      <c r="E7" s="283"/>
      <c r="F7" s="283"/>
      <c r="G7" s="283"/>
      <c r="H7" s="283"/>
      <c r="I7" s="45">
        <v>3</v>
      </c>
      <c r="J7" s="47">
        <f>Bilanca!J72</f>
        <v>39</v>
      </c>
      <c r="K7" s="47">
        <f>Bilanca!K72</f>
        <v>39</v>
      </c>
    </row>
    <row r="8" spans="1:11" ht="12.75">
      <c r="A8" s="282" t="s">
        <v>288</v>
      </c>
      <c r="B8" s="283"/>
      <c r="C8" s="283"/>
      <c r="D8" s="283"/>
      <c r="E8" s="283"/>
      <c r="F8" s="283"/>
      <c r="G8" s="283"/>
      <c r="H8" s="283"/>
      <c r="I8" s="45">
        <v>4</v>
      </c>
      <c r="J8" s="47">
        <f>Bilanca!J79</f>
        <v>-27096846</v>
      </c>
      <c r="K8" s="47">
        <f>Bilanca!K79</f>
        <v>-30642590</v>
      </c>
    </row>
    <row r="9" spans="1:11" ht="12.75">
      <c r="A9" s="282" t="s">
        <v>289</v>
      </c>
      <c r="B9" s="283"/>
      <c r="C9" s="283"/>
      <c r="D9" s="283"/>
      <c r="E9" s="283"/>
      <c r="F9" s="283"/>
      <c r="G9" s="283"/>
      <c r="H9" s="283"/>
      <c r="I9" s="45">
        <v>5</v>
      </c>
      <c r="J9" s="47">
        <f>Bilanca!J82+Bilanca!J85</f>
        <v>-3545743</v>
      </c>
      <c r="K9" s="47">
        <f>Bilanca!K82+Bilanca!K85</f>
        <v>-5526556</v>
      </c>
    </row>
    <row r="10" spans="1:11" ht="12.75">
      <c r="A10" s="282" t="s">
        <v>290</v>
      </c>
      <c r="B10" s="283"/>
      <c r="C10" s="283"/>
      <c r="D10" s="283"/>
      <c r="E10" s="283"/>
      <c r="F10" s="283"/>
      <c r="G10" s="283"/>
      <c r="H10" s="283"/>
      <c r="I10" s="45">
        <v>6</v>
      </c>
      <c r="J10" s="47">
        <f>Bilanca!J78</f>
        <v>77834652</v>
      </c>
      <c r="K10" s="47">
        <f>Bilanca!K78</f>
        <v>77834652</v>
      </c>
    </row>
    <row r="11" spans="1:11" ht="12.75">
      <c r="A11" s="282" t="s">
        <v>291</v>
      </c>
      <c r="B11" s="283"/>
      <c r="C11" s="283"/>
      <c r="D11" s="283"/>
      <c r="E11" s="283"/>
      <c r="F11" s="283"/>
      <c r="G11" s="283"/>
      <c r="H11" s="283"/>
      <c r="I11" s="45">
        <v>7</v>
      </c>
      <c r="J11" s="47"/>
      <c r="K11" s="47"/>
    </row>
    <row r="12" spans="1:11" ht="12.75">
      <c r="A12" s="282" t="s">
        <v>292</v>
      </c>
      <c r="B12" s="283"/>
      <c r="C12" s="283"/>
      <c r="D12" s="283"/>
      <c r="E12" s="283"/>
      <c r="F12" s="283"/>
      <c r="G12" s="283"/>
      <c r="H12" s="283"/>
      <c r="I12" s="45">
        <v>8</v>
      </c>
      <c r="J12" s="47"/>
      <c r="K12" s="47"/>
    </row>
    <row r="13" spans="1:11" ht="12.75">
      <c r="A13" s="282" t="s">
        <v>293</v>
      </c>
      <c r="B13" s="283"/>
      <c r="C13" s="283"/>
      <c r="D13" s="283"/>
      <c r="E13" s="283"/>
      <c r="F13" s="283"/>
      <c r="G13" s="283"/>
      <c r="H13" s="283"/>
      <c r="I13" s="45">
        <v>9</v>
      </c>
      <c r="J13" s="47"/>
      <c r="K13" s="47"/>
    </row>
    <row r="14" spans="1:12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5">
        <v>10</v>
      </c>
      <c r="J14" s="130">
        <f>SUM(J5:J13)</f>
        <v>149870249</v>
      </c>
      <c r="K14" s="130">
        <f>SUM(K5:K13)</f>
        <v>144343692</v>
      </c>
      <c r="L14" s="136"/>
    </row>
    <row r="15" spans="1:11" ht="12.75">
      <c r="A15" s="282" t="s">
        <v>295</v>
      </c>
      <c r="B15" s="283"/>
      <c r="C15" s="283"/>
      <c r="D15" s="283"/>
      <c r="E15" s="283"/>
      <c r="F15" s="283"/>
      <c r="G15" s="283"/>
      <c r="H15" s="283"/>
      <c r="I15" s="45">
        <v>11</v>
      </c>
      <c r="J15" s="47"/>
      <c r="K15" s="47"/>
    </row>
    <row r="16" spans="1:11" ht="12.75">
      <c r="A16" s="282" t="s">
        <v>296</v>
      </c>
      <c r="B16" s="283"/>
      <c r="C16" s="283"/>
      <c r="D16" s="283"/>
      <c r="E16" s="283"/>
      <c r="F16" s="283"/>
      <c r="G16" s="283"/>
      <c r="H16" s="283"/>
      <c r="I16" s="45">
        <v>12</v>
      </c>
      <c r="J16" s="47"/>
      <c r="K16" s="47"/>
    </row>
    <row r="17" spans="1:11" ht="12.75">
      <c r="A17" s="282" t="s">
        <v>297</v>
      </c>
      <c r="B17" s="283"/>
      <c r="C17" s="283"/>
      <c r="D17" s="283"/>
      <c r="E17" s="283"/>
      <c r="F17" s="283"/>
      <c r="G17" s="283"/>
      <c r="H17" s="283"/>
      <c r="I17" s="45">
        <v>13</v>
      </c>
      <c r="J17" s="47"/>
      <c r="K17" s="47"/>
    </row>
    <row r="18" spans="1:11" ht="12.75">
      <c r="A18" s="282" t="s">
        <v>298</v>
      </c>
      <c r="B18" s="283"/>
      <c r="C18" s="283"/>
      <c r="D18" s="283"/>
      <c r="E18" s="283"/>
      <c r="F18" s="283"/>
      <c r="G18" s="283"/>
      <c r="H18" s="283"/>
      <c r="I18" s="45">
        <v>14</v>
      </c>
      <c r="J18" s="47"/>
      <c r="K18" s="47"/>
    </row>
    <row r="19" spans="1:11" ht="12.75">
      <c r="A19" s="282" t="s">
        <v>299</v>
      </c>
      <c r="B19" s="283"/>
      <c r="C19" s="283"/>
      <c r="D19" s="283"/>
      <c r="E19" s="283"/>
      <c r="F19" s="283"/>
      <c r="G19" s="283"/>
      <c r="H19" s="283"/>
      <c r="I19" s="45">
        <v>15</v>
      </c>
      <c r="J19" s="47"/>
      <c r="K19" s="47"/>
    </row>
    <row r="20" spans="1:11" ht="12.75">
      <c r="A20" s="282" t="s">
        <v>300</v>
      </c>
      <c r="B20" s="283"/>
      <c r="C20" s="283"/>
      <c r="D20" s="283"/>
      <c r="E20" s="283"/>
      <c r="F20" s="283"/>
      <c r="G20" s="283"/>
      <c r="H20" s="283"/>
      <c r="I20" s="45">
        <v>16</v>
      </c>
      <c r="J20" s="47">
        <v>-3693555</v>
      </c>
      <c r="K20" s="47">
        <f>K14-J14</f>
        <v>-5526557</v>
      </c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5">
        <v>17</v>
      </c>
      <c r="J21" s="80">
        <f>SUM(J15:J20)</f>
        <v>-3693555</v>
      </c>
      <c r="K21" s="80">
        <f>SUM(K15:K20)</f>
        <v>-5526557</v>
      </c>
    </row>
    <row r="22" spans="1:11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86" t="s">
        <v>302</v>
      </c>
      <c r="B23" s="287"/>
      <c r="C23" s="287"/>
      <c r="D23" s="287"/>
      <c r="E23" s="287"/>
      <c r="F23" s="287"/>
      <c r="G23" s="287"/>
      <c r="H23" s="287"/>
      <c r="I23" s="48">
        <v>18</v>
      </c>
      <c r="J23" s="46">
        <f>J21</f>
        <v>-3693555</v>
      </c>
      <c r="K23" s="46">
        <f>K21</f>
        <v>-5526557</v>
      </c>
    </row>
    <row r="24" spans="1:11" ht="17.25" customHeight="1">
      <c r="A24" s="288" t="s">
        <v>303</v>
      </c>
      <c r="B24" s="289"/>
      <c r="C24" s="289"/>
      <c r="D24" s="289"/>
      <c r="E24" s="289"/>
      <c r="F24" s="289"/>
      <c r="G24" s="289"/>
      <c r="H24" s="289"/>
      <c r="I24" s="49">
        <v>19</v>
      </c>
      <c r="J24" s="80"/>
      <c r="K24" s="80"/>
    </row>
    <row r="25" spans="1:11" ht="30" customHeight="1">
      <c r="A25" s="290" t="s">
        <v>304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9" t="s">
        <v>280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300" t="s">
        <v>316</v>
      </c>
      <c r="B4" s="301"/>
      <c r="C4" s="301"/>
      <c r="D4" s="301"/>
      <c r="E4" s="301"/>
      <c r="F4" s="301"/>
      <c r="G4" s="301"/>
      <c r="H4" s="301"/>
      <c r="I4" s="301"/>
      <c r="J4" s="302"/>
    </row>
    <row r="5" spans="1:10" ht="12.75" customHeight="1">
      <c r="A5" s="303"/>
      <c r="B5" s="304"/>
      <c r="C5" s="304"/>
      <c r="D5" s="304"/>
      <c r="E5" s="304"/>
      <c r="F5" s="304"/>
      <c r="G5" s="304"/>
      <c r="H5" s="304"/>
      <c r="I5" s="304"/>
      <c r="J5" s="305"/>
    </row>
    <row r="6" spans="1:10" ht="12.75" customHeight="1">
      <c r="A6" s="303"/>
      <c r="B6" s="304"/>
      <c r="C6" s="304"/>
      <c r="D6" s="304"/>
      <c r="E6" s="304"/>
      <c r="F6" s="304"/>
      <c r="G6" s="304"/>
      <c r="H6" s="304"/>
      <c r="I6" s="304"/>
      <c r="J6" s="305"/>
    </row>
    <row r="7" spans="1:10" ht="12.75" customHeight="1">
      <c r="A7" s="303"/>
      <c r="B7" s="304"/>
      <c r="C7" s="304"/>
      <c r="D7" s="304"/>
      <c r="E7" s="304"/>
      <c r="F7" s="304"/>
      <c r="G7" s="304"/>
      <c r="H7" s="304"/>
      <c r="I7" s="304"/>
      <c r="J7" s="305"/>
    </row>
    <row r="8" spans="1:10" ht="12.75" customHeight="1">
      <c r="A8" s="303"/>
      <c r="B8" s="304"/>
      <c r="C8" s="304"/>
      <c r="D8" s="304"/>
      <c r="E8" s="304"/>
      <c r="F8" s="304"/>
      <c r="G8" s="304"/>
      <c r="H8" s="304"/>
      <c r="I8" s="304"/>
      <c r="J8" s="305"/>
    </row>
    <row r="9" spans="1:10" ht="12.75" customHeight="1">
      <c r="A9" s="303"/>
      <c r="B9" s="304"/>
      <c r="C9" s="304"/>
      <c r="D9" s="304"/>
      <c r="E9" s="304"/>
      <c r="F9" s="304"/>
      <c r="G9" s="304"/>
      <c r="H9" s="304"/>
      <c r="I9" s="304"/>
      <c r="J9" s="305"/>
    </row>
    <row r="10" spans="1:10" ht="12.75" customHeight="1">
      <c r="A10" s="303"/>
      <c r="B10" s="304"/>
      <c r="C10" s="304"/>
      <c r="D10" s="304"/>
      <c r="E10" s="304"/>
      <c r="F10" s="304"/>
      <c r="G10" s="304"/>
      <c r="H10" s="304"/>
      <c r="I10" s="304"/>
      <c r="J10" s="305"/>
    </row>
    <row r="11" spans="1:10" ht="12.75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</cp:lastModifiedBy>
  <cp:lastPrinted>2011-07-28T10:09:58Z</cp:lastPrinted>
  <dcterms:created xsi:type="dcterms:W3CDTF">2008-10-17T11:51:54Z</dcterms:created>
  <dcterms:modified xsi:type="dcterms:W3CDTF">2011-07-28T10:10:02Z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