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'GENERAL'!$A$1:$I$87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<sst xmlns="http://schemas.openxmlformats.org/spreadsheetml/2006/main" count="444" uniqueCount="368">
  <si>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</si>
  <si>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</si>
  <si>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</si>
  <si>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</si>
  <si>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</si>
  <si>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</si>
  <si>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</si>
  <si>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</si>
  <si>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</si>
  <si>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</si>
  <si>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</si>
  <si>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</si>
  <si>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</si>
  <si>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</si>
  <si>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</si>
  <si>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</si>
  <si>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</si>
  <si>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</si>
  <si>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</si>
  <si>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</si>
  <si>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</si>
  <si>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</si>
  <si>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</si>
  <si>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</si>
  <si>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</si>
  <si>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</si>
  <si>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</si>
  <si>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</si>
  <si>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</si>
  <si>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</si>
  <si>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</si>
  <si>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</si>
  <si>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</si>
  <si>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</si>
  <si>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</si>
  <si>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</si>
  <si>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</si>
  <si>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</si>
  <si>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</si>
  <si>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</si>
  <si>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</si>
  <si>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</si>
  <si>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</si>
  <si>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</si>
  <si>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</si>
  <si>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</si>
  <si>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</si>
  <si>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</si>
  <si>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</si>
  <si>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</si>
  <si>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</si>
  <si>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</si>
  <si>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</si>
  <si>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</si>
  <si>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</si>
  <si>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</si>
  <si>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</si>
  <si>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</si>
  <si>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</si>
  <si>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</si>
  <si>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</si>
  <si>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</si>
  <si>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</si>
  <si>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</si>
  <si>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</si>
  <si>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</si>
  <si>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</si>
  <si>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</si>
  <si>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</si>
  <si>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</si>
  <si>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</si>
  <si>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</si>
  <si>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</si>
  <si>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</si>
  <si>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</si>
  <si>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01819585</t>
  </si>
  <si>
    <t>FORUM CENTAR D.O.O.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</si>
  <si>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</si>
  <si>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</si>
  <si>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</si>
  <si>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</si>
  <si>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</si>
  <si>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</si>
  <si>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</si>
  <si>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</si>
  <si>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</si>
  <si>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</si>
  <si>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</si>
  <si>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</si>
  <si>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</si>
  <si>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</si>
  <si>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</si>
  <si>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</si>
  <si>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MBM TERMOPROJEKT D.O.O.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</si>
  <si>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</si>
  <si>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</si>
  <si>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</si>
  <si>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</si>
  <si>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</si>
  <si>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</si>
  <si>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</si>
  <si>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</si>
  <si>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</si>
  <si>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</si>
  <si>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</si>
  <si>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</si>
  <si>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</si>
  <si>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</si>
  <si>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</si>
  <si>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</si>
  <si>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</si>
  <si>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</si>
  <si>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</si>
  <si>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</si>
  <si>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</si>
  <si>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</si>
  <si>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</si>
  <si>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</si>
  <si>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</si>
  <si>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</si>
  <si>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</si>
  <si>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</si>
  <si>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</si>
  <si>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</si>
  <si>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</si>
  <si>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</si>
  <si>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</si>
  <si>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</si>
  <si>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</si>
  <si>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</si>
  <si>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</si>
  <si>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</si>
  <si>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</si>
  <si>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</si>
  <si>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</si>
  <si>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</si>
  <si>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</si>
  <si>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</si>
  <si>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</si>
  <si>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</si>
  <si>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</si>
  <si>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</si>
  <si>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</si>
  <si>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</si>
  <si>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</si>
  <si>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</si>
  <si>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</si>
  <si>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</si>
  <si>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</si>
  <si>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</si>
  <si>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</si>
  <si>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</si>
  <si>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</si>
  <si>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</si>
  <si>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</si>
  <si>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</si>
  <si>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</si>
  <si>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</si>
  <si>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</si>
  <si>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</si>
  <si>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</si>
  <si>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</si>
  <si>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</si>
  <si>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</si>
  <si>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</si>
  <si>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</si>
  <si>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</si>
  <si>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</si>
  <si>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</si>
  <si>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</si>
  <si>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</si>
  <si>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</si>
  <si>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</si>
  <si>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</si>
  <si>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</si>
  <si>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</si>
  <si>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</si>
  <si>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</si>
  <si>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</si>
  <si>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</si>
  <si>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</si>
  <si>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</si>
  <si>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</si>
  <si>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</si>
  <si>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</si>
  <si>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</si>
  <si>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</si>
  <si>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</si>
  <si>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</si>
  <si>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</si>
  <si>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</si>
  <si>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</si>
  <si>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</si>
  <si>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</si>
  <si>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</si>
  <si>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</si>
  <si>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</si>
  <si>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</si>
  <si>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</si>
  <si>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</si>
  <si>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</si>
  <si>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</si>
  <si>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</si>
  <si>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</si>
  <si>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</si>
  <si>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</si>
  <si>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</si>
  <si>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</si>
  <si>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</si>
  <si>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</si>
  <si>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</si>
  <si>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</si>
  <si>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</si>
  <si>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</si>
  <si>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</si>
  <si>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</si>
  <si>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</si>
  <si>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</si>
  <si>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</si>
  <si>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</si>
  <si>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</si>
  <si>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</si>
  <si>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</si>
  <si>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</si>
  <si>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</si>
  <si>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</si>
  <si>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</si>
  <si>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</si>
  <si>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</si>
  <si>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</si>
  <si>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</si>
  <si>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</si>
  <si>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</si>
  <si>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</si>
  <si>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</si>
  <si>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</si>
  <si>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</si>
  <si>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</si>
  <si>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</si>
  <si>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</si>
  <si>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</si>
  <si>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</si>
  <si>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</si>
  <si>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</si>
  <si>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</si>
  <si>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</si>
  <si>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</si>
  <si>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</si>
  <si>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</si>
  <si>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</si>
  <si>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</si>
  <si>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</si>
  <si>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</si>
  <si>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</si>
  <si>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</si>
  <si>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</si>
  <si>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</si>
  <si>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</si>
  <si>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</si>
  <si>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</si>
  <si>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</si>
  <si>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</si>
  <si>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</si>
  <si>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</si>
  <si>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</si>
  <si>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</si>
  <si>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</si>
  <si>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</si>
  <si>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</si>
  <si>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</si>
  <si>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</si>
  <si>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</si>
  <si>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</si>
  <si>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</si>
  <si>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</si>
  <si>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</si>
  <si>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</si>
  <si>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</si>
  <si>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</si>
  <si>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</si>
  <si>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</si>
  <si>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</si>
  <si>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</si>
  <si>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</si>
  <si>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</si>
  <si>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</si>
  <si>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</si>
  <si>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</si>
  <si>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</si>
  <si>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</si>
  <si>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</si>
  <si>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</si>
  <si>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</si>
  <si>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</si>
  <si>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</si>
  <si>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</si>
  <si>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</si>
  <si>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</si>
  <si>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</si>
  <si>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</si>
  <si>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</si>
  <si>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</si>
  <si>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</si>
  <si>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</si>
  <si>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</si>
  <si>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</si>
  <si>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</si>
  <si>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</si>
  <si>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</si>
  <si>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</si>
  <si>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</si>
  <si>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</si>
  <si>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</si>
  <si>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</si>
  <si>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</si>
  <si>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</si>
  <si>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</si>
  <si>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</si>
  <si>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</si>
  <si>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</si>
  <si>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</si>
  <si>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</si>
  <si>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</si>
  <si>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</si>
  <si>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</si>
  <si>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</si>
  <si>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</si>
  <si>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</si>
  <si>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</si>
  <si>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</si>
  <si>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</si>
  <si>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</si>
  <si>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</si>
  <si>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</si>
  <si>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</si>
  <si>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</si>
  <si>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</si>
  <si>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</si>
  <si>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</si>
  <si>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</si>
  <si>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</si>
  <si>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</si>
  <si>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</si>
  <si>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</si>
  <si>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</si>
  <si>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</si>
  <si>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</si>
  <si>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</si>
  <si>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</si>
  <si>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</si>
  <si>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</si>
  <si>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</si>
  <si>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</si>
  <si>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</si>
  <si>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</si>
  <si>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</si>
  <si>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</si>
  <si>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</si>
  <si>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</si>
  <si>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</si>
  <si>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</si>
  <si>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</si>
  <si>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IVAN PALADINA          OLIVER KUMRIĆ</t>
  </si>
  <si>
    <t>IGH BUSINESS ADVISORY SERVICES D.O.O.</t>
  </si>
  <si>
    <t>as of  30.06.2017</t>
  </si>
  <si>
    <t>for period  01.01.2017 to 30.06.2017</t>
  </si>
  <si>
    <t>period  01.01.2017. to 30.06.2017</t>
  </si>
  <si>
    <t>ZAGREB, NIKOLE PAVIĆA 20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</si>
</sst>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 vertical="center" wrapText="1"/>
      <protection hidden="1"/>
    </xf>
    <xf numFmtId="0" fontId="10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1" fillId="0" borderId="25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0" fontId="0" fillId="33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25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left" wrapText="1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34" borderId="27" xfId="59" applyFont="1" applyFill="1" applyBorder="1" applyAlignment="1" applyProtection="1">
      <alignment horizontal="lef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Fill="1" applyBorder="1" applyAlignment="1">
      <alignment horizontal="left"/>
      <protection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17" xfId="59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9" fillId="0" borderId="16" xfId="59" applyFont="1" applyBorder="1" applyAlignment="1" applyProtection="1">
      <alignment horizontal="center" vertical="center" wrapText="1"/>
      <protection hidden="1"/>
    </xf>
    <xf numFmtId="0" fontId="9" fillId="0" borderId="0" xfId="59" applyFont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32" xfId="59" applyFont="1" applyBorder="1" applyAlignment="1">
      <alignment/>
      <protection/>
    </xf>
    <xf numFmtId="0" fontId="8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7\2Q2017\TFI-POD_KONSOLIDIRANI%20GRUPA%20IGH_2Q2017_RADNA%20VERZIJA_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10" zoomScaleSheetLayoutView="110" zoomScalePageLayoutView="0" workbookViewId="0" topLeftCell="A28">
      <selection activeCell="E55" sqref="E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2" t="s">
        <v>100</v>
      </c>
      <c r="B1" s="203"/>
      <c r="C1" s="203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91" t="s">
        <v>101</v>
      </c>
      <c r="B2" s="192"/>
      <c r="C2" s="192"/>
      <c r="D2" s="193"/>
      <c r="E2" s="107">
        <v>42736</v>
      </c>
      <c r="F2" s="12"/>
      <c r="G2" s="13" t="s">
        <v>50</v>
      </c>
      <c r="H2" s="107">
        <v>42916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17"/>
      <c r="I3" s="78"/>
      <c r="J3" s="10"/>
      <c r="K3" s="10"/>
      <c r="L3" s="10"/>
    </row>
    <row r="4" spans="1:12" ht="15">
      <c r="A4" s="194" t="s">
        <v>102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53" t="s">
        <v>103</v>
      </c>
      <c r="B6" s="154"/>
      <c r="C6" s="151" t="s">
        <v>348</v>
      </c>
      <c r="D6" s="152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8.75" customHeight="1">
      <c r="A8" s="197" t="s">
        <v>104</v>
      </c>
      <c r="B8" s="198"/>
      <c r="C8" s="151" t="s">
        <v>58</v>
      </c>
      <c r="D8" s="152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55" t="s">
        <v>105</v>
      </c>
      <c r="B10" s="204"/>
      <c r="C10" s="151" t="s">
        <v>59</v>
      </c>
      <c r="D10" s="152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205"/>
      <c r="B11" s="20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53" t="s">
        <v>106</v>
      </c>
      <c r="B12" s="154"/>
      <c r="C12" s="147" t="s">
        <v>60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53" t="s">
        <v>107</v>
      </c>
      <c r="B14" s="154"/>
      <c r="C14" s="189">
        <v>10000</v>
      </c>
      <c r="D14" s="190"/>
      <c r="E14" s="16"/>
      <c r="F14" s="147" t="s">
        <v>61</v>
      </c>
      <c r="G14" s="179"/>
      <c r="H14" s="179"/>
      <c r="I14" s="180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53" t="s">
        <v>108</v>
      </c>
      <c r="B16" s="154"/>
      <c r="C16" s="147" t="s">
        <v>62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53" t="s">
        <v>109</v>
      </c>
      <c r="B18" s="154"/>
      <c r="C18" s="181" t="s">
        <v>63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53" t="s">
        <v>110</v>
      </c>
      <c r="B20" s="154"/>
      <c r="C20" s="181" t="s">
        <v>359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3" t="s">
        <v>111</v>
      </c>
      <c r="B22" s="154"/>
      <c r="C22" s="108">
        <v>133</v>
      </c>
      <c r="D22" s="147" t="s">
        <v>61</v>
      </c>
      <c r="E22" s="167"/>
      <c r="F22" s="168"/>
      <c r="G22" s="153"/>
      <c r="H22" s="188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53" t="s">
        <v>112</v>
      </c>
      <c r="B24" s="154"/>
      <c r="C24" s="108">
        <v>21</v>
      </c>
      <c r="D24" s="147" t="s">
        <v>64</v>
      </c>
      <c r="E24" s="167"/>
      <c r="F24" s="167"/>
      <c r="G24" s="168"/>
      <c r="H24" s="44" t="s">
        <v>115</v>
      </c>
      <c r="I24" s="146">
        <v>541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116</v>
      </c>
      <c r="I25" s="87"/>
      <c r="J25" s="10"/>
      <c r="K25" s="10"/>
      <c r="L25" s="10"/>
    </row>
    <row r="26" spans="1:12" ht="12.75">
      <c r="A26" s="153" t="s">
        <v>113</v>
      </c>
      <c r="B26" s="154"/>
      <c r="C26" s="109" t="s">
        <v>114</v>
      </c>
      <c r="D26" s="24"/>
      <c r="E26" s="88"/>
      <c r="F26" s="23"/>
      <c r="G26" s="169" t="s">
        <v>117</v>
      </c>
      <c r="H26" s="154"/>
      <c r="I26" s="110" t="s">
        <v>65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99" t="s">
        <v>118</v>
      </c>
      <c r="B28" s="200"/>
      <c r="C28" s="201"/>
      <c r="D28" s="201"/>
      <c r="E28" s="170" t="s">
        <v>131</v>
      </c>
      <c r="F28" s="171"/>
      <c r="G28" s="171"/>
      <c r="H28" s="206" t="s">
        <v>51</v>
      </c>
      <c r="I28" s="207"/>
      <c r="J28" s="10"/>
      <c r="K28" s="10"/>
      <c r="L28" s="10"/>
    </row>
    <row r="29" spans="1:12" ht="12.75">
      <c r="A29" s="90"/>
      <c r="B29" s="88"/>
      <c r="C29" s="8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47" t="s">
        <v>66</v>
      </c>
      <c r="B30" s="148"/>
      <c r="C30" s="148"/>
      <c r="D30" s="162"/>
      <c r="E30" s="147" t="s">
        <v>67</v>
      </c>
      <c r="F30" s="148"/>
      <c r="G30" s="162"/>
      <c r="H30" s="151" t="s">
        <v>68</v>
      </c>
      <c r="I30" s="152"/>
      <c r="J30" s="10"/>
      <c r="K30" s="10"/>
      <c r="L30" s="10"/>
    </row>
    <row r="31" spans="1:12" ht="12.75">
      <c r="A31" s="127"/>
      <c r="B31" s="128"/>
      <c r="C31" s="129"/>
      <c r="D31" s="130"/>
      <c r="E31" s="130"/>
      <c r="F31" s="130"/>
      <c r="G31" s="131"/>
      <c r="H31" s="23"/>
      <c r="I31" s="126"/>
      <c r="J31" s="10"/>
      <c r="K31" s="10"/>
      <c r="L31" s="10"/>
    </row>
    <row r="32" spans="1:12" ht="12.75">
      <c r="A32" s="147" t="s">
        <v>69</v>
      </c>
      <c r="B32" s="148"/>
      <c r="C32" s="148"/>
      <c r="D32" s="162"/>
      <c r="E32" s="147" t="s">
        <v>70</v>
      </c>
      <c r="F32" s="148"/>
      <c r="G32" s="148"/>
      <c r="H32" s="151" t="s">
        <v>71</v>
      </c>
      <c r="I32" s="152"/>
      <c r="J32" s="10"/>
      <c r="K32" s="10"/>
      <c r="L32" s="10"/>
    </row>
    <row r="33" spans="1:12" ht="12.75">
      <c r="A33" s="132"/>
      <c r="B33" s="129"/>
      <c r="C33" s="208"/>
      <c r="D33" s="209"/>
      <c r="E33" s="128"/>
      <c r="F33" s="208"/>
      <c r="G33" s="209"/>
      <c r="H33" s="23"/>
      <c r="I33" s="133"/>
      <c r="J33" s="10"/>
      <c r="K33" s="10"/>
      <c r="L33" s="10"/>
    </row>
    <row r="34" spans="1:12" ht="12.75">
      <c r="A34" s="147" t="s">
        <v>72</v>
      </c>
      <c r="B34" s="148"/>
      <c r="C34" s="148"/>
      <c r="D34" s="162"/>
      <c r="E34" s="147" t="s">
        <v>73</v>
      </c>
      <c r="F34" s="148"/>
      <c r="G34" s="148"/>
      <c r="H34" s="151" t="s">
        <v>74</v>
      </c>
      <c r="I34" s="152"/>
      <c r="J34" s="10"/>
      <c r="K34" s="10"/>
      <c r="L34" s="10"/>
    </row>
    <row r="35" spans="1:12" ht="12.75">
      <c r="A35" s="132"/>
      <c r="B35" s="129"/>
      <c r="C35" s="129"/>
      <c r="D35" s="128"/>
      <c r="E35" s="128"/>
      <c r="F35" s="129"/>
      <c r="G35" s="128"/>
      <c r="H35" s="23"/>
      <c r="I35" s="133"/>
      <c r="J35" s="10"/>
      <c r="K35" s="10"/>
      <c r="L35" s="10"/>
    </row>
    <row r="36" spans="1:12" ht="12.75">
      <c r="A36" s="147" t="s">
        <v>363</v>
      </c>
      <c r="B36" s="148"/>
      <c r="C36" s="148"/>
      <c r="D36" s="162"/>
      <c r="E36" s="147" t="s">
        <v>70</v>
      </c>
      <c r="F36" s="148"/>
      <c r="G36" s="148"/>
      <c r="H36" s="151" t="s">
        <v>75</v>
      </c>
      <c r="I36" s="152"/>
      <c r="J36" s="10"/>
      <c r="K36" s="10"/>
      <c r="L36" s="10"/>
    </row>
    <row r="37" spans="1:12" ht="12.75">
      <c r="A37" s="132"/>
      <c r="B37" s="129"/>
      <c r="C37" s="129"/>
      <c r="D37" s="128"/>
      <c r="E37" s="128"/>
      <c r="F37" s="129"/>
      <c r="G37" s="128"/>
      <c r="H37" s="23"/>
      <c r="I37" s="133"/>
      <c r="J37" s="10"/>
      <c r="K37" s="10"/>
      <c r="L37" s="10"/>
    </row>
    <row r="38" spans="1:12" ht="12.75">
      <c r="A38" s="147" t="s">
        <v>76</v>
      </c>
      <c r="B38" s="148"/>
      <c r="C38" s="148"/>
      <c r="D38" s="162"/>
      <c r="E38" s="147" t="s">
        <v>70</v>
      </c>
      <c r="F38" s="148"/>
      <c r="G38" s="148"/>
      <c r="H38" s="151" t="s">
        <v>77</v>
      </c>
      <c r="I38" s="152"/>
      <c r="J38" s="10"/>
      <c r="K38" s="10"/>
      <c r="L38" s="10"/>
    </row>
    <row r="39" spans="1:12" ht="12.75">
      <c r="A39" s="132"/>
      <c r="B39" s="129"/>
      <c r="C39" s="129"/>
      <c r="D39" s="128"/>
      <c r="E39" s="128"/>
      <c r="F39" s="129"/>
      <c r="G39" s="128"/>
      <c r="H39" s="23"/>
      <c r="I39" s="133"/>
      <c r="J39" s="10"/>
      <c r="K39" s="10"/>
      <c r="L39" s="10"/>
    </row>
    <row r="40" spans="1:12" ht="12.75">
      <c r="A40" s="121" t="s">
        <v>78</v>
      </c>
      <c r="B40" s="122"/>
      <c r="C40" s="122"/>
      <c r="D40" s="123"/>
      <c r="E40" s="121" t="s">
        <v>70</v>
      </c>
      <c r="F40" s="122"/>
      <c r="G40" s="123"/>
      <c r="H40" s="151" t="s">
        <v>79</v>
      </c>
      <c r="I40" s="152"/>
      <c r="J40" s="10"/>
      <c r="K40" s="10"/>
      <c r="L40" s="10"/>
    </row>
    <row r="41" spans="1:12" ht="12.75">
      <c r="A41" s="132"/>
      <c r="B41" s="129"/>
      <c r="C41" s="129"/>
      <c r="D41" s="128"/>
      <c r="E41" s="128"/>
      <c r="F41" s="129"/>
      <c r="G41" s="128"/>
      <c r="H41" s="23"/>
      <c r="I41" s="133"/>
      <c r="J41" s="10"/>
      <c r="K41" s="10"/>
      <c r="L41" s="10"/>
    </row>
    <row r="42" spans="1:12" ht="12.75">
      <c r="A42" s="121" t="s">
        <v>80</v>
      </c>
      <c r="B42" s="122"/>
      <c r="C42" s="122"/>
      <c r="D42" s="123"/>
      <c r="E42" s="121" t="s">
        <v>81</v>
      </c>
      <c r="F42" s="122"/>
      <c r="G42" s="123"/>
      <c r="H42" s="151" t="s">
        <v>82</v>
      </c>
      <c r="I42" s="152"/>
      <c r="J42" s="10"/>
      <c r="K42" s="10"/>
      <c r="L42" s="10"/>
    </row>
    <row r="43" spans="1:12" ht="12.75">
      <c r="A43" s="113"/>
      <c r="B43" s="134"/>
      <c r="C43" s="134"/>
      <c r="D43" s="134"/>
      <c r="E43" s="114"/>
      <c r="F43" s="134"/>
      <c r="G43" s="134"/>
      <c r="H43" s="111"/>
      <c r="I43" s="112"/>
      <c r="J43" s="10"/>
      <c r="K43" s="10"/>
      <c r="L43" s="10"/>
    </row>
    <row r="44" spans="1:12" ht="12.75">
      <c r="A44" s="121" t="s">
        <v>83</v>
      </c>
      <c r="B44" s="122"/>
      <c r="C44" s="122"/>
      <c r="D44" s="123"/>
      <c r="E44" s="136" t="s">
        <v>360</v>
      </c>
      <c r="F44" s="122"/>
      <c r="G44" s="123"/>
      <c r="H44" s="151" t="s">
        <v>84</v>
      </c>
      <c r="I44" s="152"/>
      <c r="J44" s="10"/>
      <c r="K44" s="10"/>
      <c r="L44" s="10"/>
    </row>
    <row r="45" spans="1:12" ht="12.75">
      <c r="A45" s="132"/>
      <c r="B45" s="129"/>
      <c r="C45" s="129"/>
      <c r="D45" s="128"/>
      <c r="E45" s="128"/>
      <c r="F45" s="129"/>
      <c r="G45" s="128"/>
      <c r="H45" s="23"/>
      <c r="I45" s="133"/>
      <c r="J45" s="10"/>
      <c r="K45" s="10"/>
      <c r="L45" s="10"/>
    </row>
    <row r="46" spans="1:12" ht="12.75">
      <c r="A46" s="121" t="s">
        <v>85</v>
      </c>
      <c r="B46" s="122"/>
      <c r="C46" s="122"/>
      <c r="D46" s="123"/>
      <c r="E46" s="121" t="s">
        <v>86</v>
      </c>
      <c r="F46" s="122"/>
      <c r="G46" s="123"/>
      <c r="H46" s="151" t="s">
        <v>87</v>
      </c>
      <c r="I46" s="152"/>
      <c r="J46" s="10"/>
      <c r="K46" s="10"/>
      <c r="L46" s="10"/>
    </row>
    <row r="47" spans="1:12" ht="12.75">
      <c r="A47" s="132"/>
      <c r="B47" s="129"/>
      <c r="C47" s="129"/>
      <c r="D47" s="128"/>
      <c r="E47" s="128"/>
      <c r="F47" s="129"/>
      <c r="G47" s="128"/>
      <c r="H47" s="23"/>
      <c r="I47" s="133"/>
      <c r="J47" s="10"/>
      <c r="K47" s="10"/>
      <c r="L47" s="10"/>
    </row>
    <row r="48" spans="1:12" ht="12.75">
      <c r="A48" s="121" t="s">
        <v>88</v>
      </c>
      <c r="B48" s="122"/>
      <c r="C48" s="122"/>
      <c r="D48" s="123"/>
      <c r="E48" s="121" t="s">
        <v>89</v>
      </c>
      <c r="F48" s="122"/>
      <c r="G48" s="123"/>
      <c r="H48" s="119"/>
      <c r="I48" s="120"/>
      <c r="J48" s="10"/>
      <c r="K48" s="10"/>
      <c r="L48" s="10"/>
    </row>
    <row r="49" spans="1:12" ht="12.75">
      <c r="A49" s="113"/>
      <c r="B49" s="134"/>
      <c r="C49" s="134"/>
      <c r="D49" s="134"/>
      <c r="E49" s="114"/>
      <c r="F49" s="134"/>
      <c r="G49" s="134"/>
      <c r="H49" s="111"/>
      <c r="I49" s="112"/>
      <c r="J49" s="10"/>
      <c r="K49" s="10"/>
      <c r="L49" s="10"/>
    </row>
    <row r="50" spans="1:12" ht="12.75">
      <c r="A50" s="147" t="s">
        <v>361</v>
      </c>
      <c r="B50" s="148"/>
      <c r="C50" s="148"/>
      <c r="D50" s="162"/>
      <c r="E50" s="147" t="s">
        <v>70</v>
      </c>
      <c r="F50" s="148"/>
      <c r="G50" s="148"/>
      <c r="H50" s="151" t="s">
        <v>353</v>
      </c>
      <c r="I50" s="152"/>
      <c r="J50" s="10"/>
      <c r="K50" s="10"/>
      <c r="L50" s="10"/>
    </row>
    <row r="51" spans="1:12" ht="12.75">
      <c r="A51" s="132"/>
      <c r="B51" s="129"/>
      <c r="C51" s="129"/>
      <c r="D51" s="128"/>
      <c r="E51" s="128"/>
      <c r="F51" s="129"/>
      <c r="G51" s="128"/>
      <c r="H51" s="23"/>
      <c r="I51" s="133"/>
      <c r="J51" s="10"/>
      <c r="K51" s="10"/>
      <c r="L51" s="10"/>
    </row>
    <row r="52" spans="1:12" ht="12.75">
      <c r="A52" s="121" t="s">
        <v>90</v>
      </c>
      <c r="B52" s="124"/>
      <c r="C52" s="124"/>
      <c r="D52" s="125"/>
      <c r="E52" s="121" t="s">
        <v>91</v>
      </c>
      <c r="F52" s="124"/>
      <c r="G52" s="124"/>
      <c r="H52" s="151" t="s">
        <v>92</v>
      </c>
      <c r="I52" s="152"/>
      <c r="J52" s="10"/>
      <c r="K52" s="10"/>
      <c r="L52" s="10"/>
    </row>
    <row r="53" spans="1:12" ht="12.75">
      <c r="A53" s="132"/>
      <c r="B53" s="129"/>
      <c r="C53" s="129"/>
      <c r="D53" s="128"/>
      <c r="E53" s="128"/>
      <c r="F53" s="129"/>
      <c r="G53" s="128"/>
      <c r="H53" s="23"/>
      <c r="I53" s="133"/>
      <c r="J53" s="10"/>
      <c r="K53" s="10"/>
      <c r="L53" s="10"/>
    </row>
    <row r="54" spans="1:12" ht="12.75">
      <c r="A54" s="121" t="s">
        <v>93</v>
      </c>
      <c r="B54" s="124"/>
      <c r="C54" s="124"/>
      <c r="D54" s="125"/>
      <c r="E54" s="121" t="s">
        <v>367</v>
      </c>
      <c r="F54" s="124"/>
      <c r="G54" s="124"/>
      <c r="H54" s="151" t="s">
        <v>94</v>
      </c>
      <c r="I54" s="152"/>
      <c r="J54" s="10"/>
      <c r="K54" s="10"/>
      <c r="L54" s="10"/>
    </row>
    <row r="55" spans="1:12" ht="12.75">
      <c r="A55" s="132"/>
      <c r="B55" s="129"/>
      <c r="C55" s="129"/>
      <c r="D55" s="128"/>
      <c r="E55" s="128"/>
      <c r="F55" s="129"/>
      <c r="G55" s="128"/>
      <c r="H55" s="23"/>
      <c r="I55" s="133"/>
      <c r="J55" s="10"/>
      <c r="K55" s="10"/>
      <c r="L55" s="10"/>
    </row>
    <row r="56" spans="1:12" ht="12.75">
      <c r="A56" s="121" t="s">
        <v>95</v>
      </c>
      <c r="B56" s="124"/>
      <c r="C56" s="124"/>
      <c r="D56" s="125"/>
      <c r="E56" s="121" t="s">
        <v>70</v>
      </c>
      <c r="F56" s="124"/>
      <c r="G56" s="124"/>
      <c r="H56" s="151" t="s">
        <v>96</v>
      </c>
      <c r="I56" s="152"/>
      <c r="J56" s="10"/>
      <c r="K56" s="10"/>
      <c r="L56" s="10"/>
    </row>
    <row r="57" spans="1:12" ht="12.75">
      <c r="A57" s="113"/>
      <c r="B57" s="134"/>
      <c r="C57" s="134"/>
      <c r="D57" s="134"/>
      <c r="E57" s="114"/>
      <c r="F57" s="134"/>
      <c r="G57" s="134"/>
      <c r="H57" s="111"/>
      <c r="I57" s="112"/>
      <c r="J57" s="10"/>
      <c r="K57" s="10"/>
      <c r="L57" s="10"/>
    </row>
    <row r="58" spans="1:12" ht="12.75">
      <c r="A58" s="147" t="s">
        <v>352</v>
      </c>
      <c r="B58" s="148"/>
      <c r="C58" s="148"/>
      <c r="D58" s="162"/>
      <c r="E58" s="147" t="s">
        <v>70</v>
      </c>
      <c r="F58" s="148"/>
      <c r="G58" s="148"/>
      <c r="H58" s="151" t="s">
        <v>354</v>
      </c>
      <c r="I58" s="152"/>
      <c r="J58" s="10"/>
      <c r="K58" s="10"/>
      <c r="L58" s="10"/>
    </row>
    <row r="59" spans="1:12" ht="12.75">
      <c r="A59" s="113"/>
      <c r="B59" s="134"/>
      <c r="C59" s="134"/>
      <c r="D59" s="134"/>
      <c r="E59" s="114"/>
      <c r="F59" s="134"/>
      <c r="G59" s="134"/>
      <c r="H59" s="111"/>
      <c r="I59" s="112"/>
      <c r="J59" s="10"/>
      <c r="K59" s="10"/>
      <c r="L59" s="10"/>
    </row>
    <row r="60" spans="1:12" ht="12.75">
      <c r="A60" s="147" t="s">
        <v>355</v>
      </c>
      <c r="B60" s="148"/>
      <c r="C60" s="148"/>
      <c r="D60" s="162"/>
      <c r="E60" s="147" t="s">
        <v>70</v>
      </c>
      <c r="F60" s="148"/>
      <c r="G60" s="148"/>
      <c r="H60" s="151" t="s">
        <v>356</v>
      </c>
      <c r="I60" s="152"/>
      <c r="J60" s="10"/>
      <c r="K60" s="10"/>
      <c r="L60" s="10"/>
    </row>
    <row r="61" spans="10:12" ht="12.75">
      <c r="J61" s="10"/>
      <c r="K61" s="10"/>
      <c r="L61" s="10"/>
    </row>
    <row r="62" spans="1:12" ht="12.75">
      <c r="A62" s="147" t="s">
        <v>357</v>
      </c>
      <c r="B62" s="148"/>
      <c r="C62" s="148"/>
      <c r="D62" s="162"/>
      <c r="E62" s="147" t="s">
        <v>70</v>
      </c>
      <c r="F62" s="148"/>
      <c r="G62" s="148"/>
      <c r="H62" s="151" t="s">
        <v>358</v>
      </c>
      <c r="I62" s="152"/>
      <c r="J62" s="10"/>
      <c r="K62" s="10"/>
      <c r="L62" s="10"/>
    </row>
    <row r="63" spans="10:12" ht="12.75">
      <c r="J63" s="10"/>
      <c r="K63" s="10"/>
      <c r="L63" s="10"/>
    </row>
    <row r="64" spans="1:12" ht="12.75">
      <c r="A64" s="147"/>
      <c r="B64" s="148"/>
      <c r="C64" s="148"/>
      <c r="D64" s="162"/>
      <c r="E64" s="147"/>
      <c r="F64" s="148"/>
      <c r="G64" s="148"/>
      <c r="H64" s="151"/>
      <c r="I64" s="152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47"/>
      <c r="B66" s="148"/>
      <c r="C66" s="148"/>
      <c r="D66" s="162"/>
      <c r="E66" s="147"/>
      <c r="F66" s="148"/>
      <c r="G66" s="148"/>
      <c r="H66" s="151"/>
      <c r="I66" s="152"/>
      <c r="J66" s="10"/>
      <c r="K66" s="10"/>
      <c r="L66" s="10"/>
    </row>
    <row r="67" spans="1:12" ht="12.75">
      <c r="A67" s="92"/>
      <c r="B67" s="29"/>
      <c r="C67" s="29"/>
      <c r="D67" s="20"/>
      <c r="E67" s="20"/>
      <c r="F67" s="29"/>
      <c r="G67" s="20"/>
      <c r="H67" s="20"/>
      <c r="I67" s="93"/>
      <c r="J67" s="10"/>
      <c r="K67" s="10"/>
      <c r="L67" s="10"/>
    </row>
    <row r="68" spans="1:12" ht="12.75">
      <c r="A68" s="155" t="s">
        <v>119</v>
      </c>
      <c r="B68" s="156"/>
      <c r="C68" s="151"/>
      <c r="D68" s="152"/>
      <c r="E68" s="25"/>
      <c r="F68" s="147"/>
      <c r="G68" s="149"/>
      <c r="H68" s="149"/>
      <c r="I68" s="150"/>
      <c r="J68" s="10"/>
      <c r="K68" s="10"/>
      <c r="L68" s="10"/>
    </row>
    <row r="69" spans="1:12" ht="12.75">
      <c r="A69" s="91"/>
      <c r="B69" s="28"/>
      <c r="C69" s="160"/>
      <c r="D69" s="161"/>
      <c r="E69" s="16"/>
      <c r="F69" s="160"/>
      <c r="G69" s="184"/>
      <c r="H69" s="30"/>
      <c r="I69" s="94"/>
      <c r="J69" s="10"/>
      <c r="K69" s="10"/>
      <c r="L69" s="10"/>
    </row>
    <row r="70" spans="1:12" ht="12.75">
      <c r="A70" s="155" t="s">
        <v>120</v>
      </c>
      <c r="B70" s="156"/>
      <c r="C70" s="147" t="s">
        <v>97</v>
      </c>
      <c r="D70" s="177"/>
      <c r="E70" s="177"/>
      <c r="F70" s="177"/>
      <c r="G70" s="177"/>
      <c r="H70" s="177"/>
      <c r="I70" s="178"/>
      <c r="J70" s="10"/>
      <c r="K70" s="10"/>
      <c r="L70" s="10"/>
    </row>
    <row r="71" spans="1:12" ht="12.75">
      <c r="A71" s="83"/>
      <c r="B71" s="22"/>
      <c r="C71" s="21" t="s">
        <v>122</v>
      </c>
      <c r="D71" s="16"/>
      <c r="E71" s="16"/>
      <c r="F71" s="16"/>
      <c r="G71" s="16"/>
      <c r="H71" s="16"/>
      <c r="I71" s="84"/>
      <c r="J71" s="10"/>
      <c r="K71" s="10"/>
      <c r="L71" s="10"/>
    </row>
    <row r="72" spans="1:12" ht="12.75">
      <c r="A72" s="155" t="s">
        <v>121</v>
      </c>
      <c r="B72" s="156"/>
      <c r="C72" s="187" t="s">
        <v>98</v>
      </c>
      <c r="D72" s="158"/>
      <c r="E72" s="159"/>
      <c r="F72" s="16"/>
      <c r="G72" s="44" t="s">
        <v>349</v>
      </c>
      <c r="H72" s="187" t="s">
        <v>99</v>
      </c>
      <c r="I72" s="159"/>
      <c r="J72" s="10"/>
      <c r="K72" s="10"/>
      <c r="L72" s="10"/>
    </row>
    <row r="73" spans="1:12" ht="12.75">
      <c r="A73" s="83"/>
      <c r="B73" s="22"/>
      <c r="C73" s="21"/>
      <c r="D73" s="16"/>
      <c r="E73" s="16"/>
      <c r="F73" s="16"/>
      <c r="G73" s="16"/>
      <c r="H73" s="16"/>
      <c r="I73" s="84"/>
      <c r="J73" s="10"/>
      <c r="K73" s="10"/>
      <c r="L73" s="10"/>
    </row>
    <row r="74" spans="1:12" ht="12.75">
      <c r="A74" s="155" t="s">
        <v>109</v>
      </c>
      <c r="B74" s="156"/>
      <c r="C74" s="157" t="s">
        <v>63</v>
      </c>
      <c r="D74" s="158"/>
      <c r="E74" s="158"/>
      <c r="F74" s="158"/>
      <c r="G74" s="158"/>
      <c r="H74" s="158"/>
      <c r="I74" s="159"/>
      <c r="J74" s="10"/>
      <c r="K74" s="10"/>
      <c r="L74" s="10"/>
    </row>
    <row r="75" spans="1:12" ht="12.75">
      <c r="A75" s="83"/>
      <c r="B75" s="22"/>
      <c r="C75" s="16"/>
      <c r="D75" s="16"/>
      <c r="E75" s="16"/>
      <c r="F75" s="16"/>
      <c r="G75" s="16"/>
      <c r="H75" s="16"/>
      <c r="I75" s="84"/>
      <c r="J75" s="10"/>
      <c r="K75" s="10"/>
      <c r="L75" s="10"/>
    </row>
    <row r="76" spans="1:12" ht="12.75">
      <c r="A76" s="153" t="s">
        <v>123</v>
      </c>
      <c r="B76" s="154"/>
      <c r="C76" s="187" t="s">
        <v>362</v>
      </c>
      <c r="D76" s="158"/>
      <c r="E76" s="158"/>
      <c r="F76" s="158"/>
      <c r="G76" s="158"/>
      <c r="H76" s="158"/>
      <c r="I76" s="180"/>
      <c r="J76" s="10"/>
      <c r="K76" s="10"/>
      <c r="L76" s="10"/>
    </row>
    <row r="77" spans="1:12" ht="12.75">
      <c r="A77" s="95"/>
      <c r="B77" s="20"/>
      <c r="C77" s="166" t="s">
        <v>124</v>
      </c>
      <c r="D77" s="166"/>
      <c r="E77" s="166"/>
      <c r="F77" s="166"/>
      <c r="G77" s="166"/>
      <c r="H77" s="166"/>
      <c r="I77" s="96"/>
      <c r="J77" s="10"/>
      <c r="K77" s="10"/>
      <c r="L77" s="10"/>
    </row>
    <row r="78" spans="1:12" ht="12.75">
      <c r="A78" s="95"/>
      <c r="B78" s="20"/>
      <c r="C78" s="31"/>
      <c r="D78" s="31"/>
      <c r="E78" s="31"/>
      <c r="F78" s="31"/>
      <c r="G78" s="31"/>
      <c r="H78" s="31"/>
      <c r="I78" s="96"/>
      <c r="J78" s="10"/>
      <c r="K78" s="10"/>
      <c r="L78" s="10"/>
    </row>
    <row r="79" spans="1:12" ht="12.75">
      <c r="A79" s="95"/>
      <c r="B79" s="185" t="s">
        <v>125</v>
      </c>
      <c r="C79" s="186"/>
      <c r="D79" s="186"/>
      <c r="E79" s="186"/>
      <c r="F79" s="42"/>
      <c r="G79" s="42"/>
      <c r="H79" s="42"/>
      <c r="I79" s="97"/>
      <c r="J79" s="10"/>
      <c r="K79" s="10"/>
      <c r="L79" s="10"/>
    </row>
    <row r="80" spans="1:12" ht="12.75">
      <c r="A80" s="95"/>
      <c r="B80" s="163" t="s">
        <v>126</v>
      </c>
      <c r="C80" s="164"/>
      <c r="D80" s="164"/>
      <c r="E80" s="164"/>
      <c r="F80" s="164"/>
      <c r="G80" s="164"/>
      <c r="H80" s="164"/>
      <c r="I80" s="165"/>
      <c r="J80" s="10"/>
      <c r="K80" s="10"/>
      <c r="L80" s="10"/>
    </row>
    <row r="81" spans="1:12" ht="12.75">
      <c r="A81" s="95"/>
      <c r="B81" s="163" t="s">
        <v>127</v>
      </c>
      <c r="C81" s="164"/>
      <c r="D81" s="164"/>
      <c r="E81" s="164"/>
      <c r="F81" s="164"/>
      <c r="G81" s="164"/>
      <c r="H81" s="164"/>
      <c r="I81" s="97"/>
      <c r="J81" s="10"/>
      <c r="K81" s="10"/>
      <c r="L81" s="10"/>
    </row>
    <row r="82" spans="1:12" ht="12.75">
      <c r="A82" s="95"/>
      <c r="B82" s="163" t="s">
        <v>128</v>
      </c>
      <c r="C82" s="164"/>
      <c r="D82" s="164"/>
      <c r="E82" s="164"/>
      <c r="F82" s="164"/>
      <c r="G82" s="164"/>
      <c r="H82" s="164"/>
      <c r="I82" s="165"/>
      <c r="J82" s="10"/>
      <c r="K82" s="10"/>
      <c r="L82" s="10"/>
    </row>
    <row r="83" spans="1:12" ht="12.75">
      <c r="A83" s="95"/>
      <c r="B83" s="163" t="s">
        <v>129</v>
      </c>
      <c r="C83" s="164"/>
      <c r="D83" s="164"/>
      <c r="E83" s="164"/>
      <c r="F83" s="164"/>
      <c r="G83" s="164"/>
      <c r="H83" s="164"/>
      <c r="I83" s="165"/>
      <c r="J83" s="10"/>
      <c r="K83" s="10"/>
      <c r="L83" s="10"/>
    </row>
    <row r="84" spans="1:12" ht="12.75">
      <c r="A84" s="95"/>
      <c r="B84" s="98"/>
      <c r="C84" s="99"/>
      <c r="D84" s="99"/>
      <c r="E84" s="99"/>
      <c r="F84" s="99"/>
      <c r="G84" s="99"/>
      <c r="H84" s="99"/>
      <c r="I84" s="100"/>
      <c r="J84" s="10"/>
      <c r="K84" s="10"/>
      <c r="L84" s="10"/>
    </row>
    <row r="85" spans="1:12" ht="13.5" thickBot="1">
      <c r="A85" s="101" t="s">
        <v>52</v>
      </c>
      <c r="B85" s="16"/>
      <c r="C85" s="16"/>
      <c r="D85" s="16"/>
      <c r="E85" s="16"/>
      <c r="F85" s="16"/>
      <c r="G85" s="32"/>
      <c r="H85" s="33"/>
      <c r="I85" s="102"/>
      <c r="J85" s="10"/>
      <c r="K85" s="10"/>
      <c r="L85" s="10"/>
    </row>
    <row r="86" spans="1:12" ht="12.75">
      <c r="A86" s="79"/>
      <c r="B86" s="16"/>
      <c r="C86" s="16"/>
      <c r="D86" s="16"/>
      <c r="E86" s="20" t="s">
        <v>53</v>
      </c>
      <c r="F86" s="88"/>
      <c r="G86" s="174" t="s">
        <v>130</v>
      </c>
      <c r="H86" s="175"/>
      <c r="I86" s="176"/>
      <c r="J86" s="10"/>
      <c r="K86" s="10"/>
      <c r="L86" s="10"/>
    </row>
    <row r="87" spans="1:12" ht="12.75">
      <c r="A87" s="103"/>
      <c r="B87" s="104"/>
      <c r="C87" s="105"/>
      <c r="D87" s="105"/>
      <c r="E87" s="105"/>
      <c r="F87" s="105"/>
      <c r="G87" s="172"/>
      <c r="H87" s="173"/>
      <c r="I87" s="106"/>
      <c r="J87" s="10"/>
      <c r="K87" s="10"/>
      <c r="L87" s="10"/>
    </row>
  </sheetData>
  <sheetProtection/>
  <protectedRanges>
    <protectedRange sqref="E2 H2 C6:D6 C8:D8 C10:D10 C12:I12 C14:D14 F14:I14 C16:I16 C18:I18 C20:I20 C24:G24 C22:F22 C26 I26 I24" name="Range1"/>
    <protectedRange sqref="A30:I30" name="Range1_5_1"/>
  </protectedRanges>
  <mergeCells count="94">
    <mergeCell ref="C33:D33"/>
    <mergeCell ref="F33:G33"/>
    <mergeCell ref="A50:D50"/>
    <mergeCell ref="E50:G50"/>
    <mergeCell ref="H50:I50"/>
    <mergeCell ref="A58:D58"/>
    <mergeCell ref="E58:G58"/>
    <mergeCell ref="H28:I28"/>
    <mergeCell ref="A26:B26"/>
    <mergeCell ref="C20:I20"/>
    <mergeCell ref="C16:I16"/>
    <mergeCell ref="A36:D36"/>
    <mergeCell ref="H46:I46"/>
    <mergeCell ref="A22:B22"/>
    <mergeCell ref="H34:I34"/>
    <mergeCell ref="H42:I42"/>
    <mergeCell ref="H40:I40"/>
    <mergeCell ref="A28:D28"/>
    <mergeCell ref="A24:B24"/>
    <mergeCell ref="A1:C1"/>
    <mergeCell ref="A10:B11"/>
    <mergeCell ref="C10:D10"/>
    <mergeCell ref="A14:B14"/>
    <mergeCell ref="A16:B16"/>
    <mergeCell ref="A18:B18"/>
    <mergeCell ref="C8:D8"/>
    <mergeCell ref="D24:G24"/>
    <mergeCell ref="A32:D32"/>
    <mergeCell ref="C14:D14"/>
    <mergeCell ref="A2:D2"/>
    <mergeCell ref="C6:D6"/>
    <mergeCell ref="A6:B6"/>
    <mergeCell ref="A20:B20"/>
    <mergeCell ref="A4:I4"/>
    <mergeCell ref="A12:B12"/>
    <mergeCell ref="C12:I12"/>
    <mergeCell ref="A8:B8"/>
    <mergeCell ref="F14:I14"/>
    <mergeCell ref="C18:I18"/>
    <mergeCell ref="F69:G69"/>
    <mergeCell ref="B79:E79"/>
    <mergeCell ref="C76:I76"/>
    <mergeCell ref="H72:I72"/>
    <mergeCell ref="C72:E72"/>
    <mergeCell ref="E62:G62"/>
    <mergeCell ref="A60:D60"/>
    <mergeCell ref="G22:H22"/>
    <mergeCell ref="D22:F22"/>
    <mergeCell ref="H36:I36"/>
    <mergeCell ref="G26:H26"/>
    <mergeCell ref="E28:G28"/>
    <mergeCell ref="G87:H87"/>
    <mergeCell ref="B81:H81"/>
    <mergeCell ref="B82:I82"/>
    <mergeCell ref="B83:I83"/>
    <mergeCell ref="G86:I86"/>
    <mergeCell ref="C70:I70"/>
    <mergeCell ref="B80:I80"/>
    <mergeCell ref="C77:H77"/>
    <mergeCell ref="A70:B70"/>
    <mergeCell ref="A66:D66"/>
    <mergeCell ref="E66:G66"/>
    <mergeCell ref="H66:I66"/>
    <mergeCell ref="A68:B68"/>
    <mergeCell ref="E64:G64"/>
    <mergeCell ref="H64:I64"/>
    <mergeCell ref="A62:D62"/>
    <mergeCell ref="A64:D64"/>
    <mergeCell ref="H44:I44"/>
    <mergeCell ref="H52:I52"/>
    <mergeCell ref="H58:I58"/>
    <mergeCell ref="E60:G60"/>
    <mergeCell ref="H56:I56"/>
    <mergeCell ref="H54:I54"/>
    <mergeCell ref="H60:I60"/>
    <mergeCell ref="H32:I32"/>
    <mergeCell ref="E30:G30"/>
    <mergeCell ref="A38:D38"/>
    <mergeCell ref="E38:G38"/>
    <mergeCell ref="H38:I38"/>
    <mergeCell ref="E36:G36"/>
    <mergeCell ref="A34:D34"/>
    <mergeCell ref="E34:G34"/>
    <mergeCell ref="A30:D30"/>
    <mergeCell ref="E32:G32"/>
    <mergeCell ref="F68:I68"/>
    <mergeCell ref="H62:I62"/>
    <mergeCell ref="C68:D68"/>
    <mergeCell ref="H30:I30"/>
    <mergeCell ref="A76:B76"/>
    <mergeCell ref="A74:B74"/>
    <mergeCell ref="C74:I74"/>
    <mergeCell ref="C69:D69"/>
    <mergeCell ref="A72:B72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64">
      <selection activeCell="J118" sqref="J118:K11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364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334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4">
      <c r="A4" s="248" t="s">
        <v>133</v>
      </c>
      <c r="B4" s="249"/>
      <c r="C4" s="249"/>
      <c r="D4" s="249"/>
      <c r="E4" s="249"/>
      <c r="F4" s="249"/>
      <c r="G4" s="249"/>
      <c r="H4" s="250"/>
      <c r="I4" s="50" t="s">
        <v>135</v>
      </c>
      <c r="J4" s="51" t="s">
        <v>134</v>
      </c>
      <c r="K4" s="52" t="s">
        <v>136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49">
        <v>2</v>
      </c>
      <c r="J5" s="48">
        <v>3</v>
      </c>
      <c r="K5" s="48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26" t="s">
        <v>137</v>
      </c>
      <c r="B7" s="227"/>
      <c r="C7" s="227"/>
      <c r="D7" s="227"/>
      <c r="E7" s="227"/>
      <c r="F7" s="227"/>
      <c r="G7" s="227"/>
      <c r="H7" s="233"/>
      <c r="I7" s="3">
        <v>1</v>
      </c>
      <c r="J7" s="6"/>
      <c r="K7" s="6"/>
    </row>
    <row r="8" spans="1:11" ht="12.75">
      <c r="A8" s="210" t="s">
        <v>138</v>
      </c>
      <c r="B8" s="211"/>
      <c r="C8" s="211"/>
      <c r="D8" s="211"/>
      <c r="E8" s="211"/>
      <c r="F8" s="211"/>
      <c r="G8" s="211"/>
      <c r="H8" s="212"/>
      <c r="I8" s="1">
        <v>2</v>
      </c>
      <c r="J8" s="116">
        <f>J9+J16+J26+J35+J39</f>
        <v>312527859</v>
      </c>
      <c r="K8" s="116">
        <f>K9+K16+K26+K35+K39</f>
        <v>311642144</v>
      </c>
    </row>
    <row r="9" spans="1:11" ht="12.75">
      <c r="A9" s="213" t="s">
        <v>223</v>
      </c>
      <c r="B9" s="214"/>
      <c r="C9" s="214"/>
      <c r="D9" s="214"/>
      <c r="E9" s="214"/>
      <c r="F9" s="214"/>
      <c r="G9" s="214"/>
      <c r="H9" s="215"/>
      <c r="I9" s="1">
        <v>3</v>
      </c>
      <c r="J9" s="46">
        <f>SUM(J10:J15)</f>
        <v>4218396</v>
      </c>
      <c r="K9" s="46">
        <f>SUM(K10:K15)</f>
        <v>4223732</v>
      </c>
    </row>
    <row r="10" spans="1:11" ht="12.75">
      <c r="A10" s="213" t="s">
        <v>139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>
        <v>0</v>
      </c>
    </row>
    <row r="11" spans="1:11" ht="12.75">
      <c r="A11" s="213" t="s">
        <v>140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1553352</v>
      </c>
      <c r="K11" s="7">
        <f>1087011+401758</f>
        <v>1488769</v>
      </c>
    </row>
    <row r="12" spans="1:11" ht="12.75">
      <c r="A12" s="213" t="s">
        <v>49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51837</v>
      </c>
      <c r="K12" s="7">
        <v>51837</v>
      </c>
    </row>
    <row r="13" spans="1:11" ht="12.75">
      <c r="A13" s="213" t="s">
        <v>141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142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2613207</v>
      </c>
      <c r="K14" s="7">
        <f>3084884-401758</f>
        <v>2683126</v>
      </c>
    </row>
    <row r="15" spans="1:11" ht="12.75">
      <c r="A15" s="213" t="s">
        <v>143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>
        <v>0</v>
      </c>
    </row>
    <row r="16" spans="1:11" ht="12.75">
      <c r="A16" s="213" t="s">
        <v>224</v>
      </c>
      <c r="B16" s="214"/>
      <c r="C16" s="214"/>
      <c r="D16" s="214"/>
      <c r="E16" s="214"/>
      <c r="F16" s="214"/>
      <c r="G16" s="214"/>
      <c r="H16" s="215"/>
      <c r="I16" s="1">
        <v>10</v>
      </c>
      <c r="J16" s="46">
        <f>SUM(J17:J25)</f>
        <v>288096295</v>
      </c>
      <c r="K16" s="46">
        <f>SUM(K17:K25)</f>
        <v>286456941</v>
      </c>
    </row>
    <row r="17" spans="1:11" ht="12.75">
      <c r="A17" s="213" t="s">
        <v>144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105251572</v>
      </c>
      <c r="K17" s="7">
        <v>105217125</v>
      </c>
    </row>
    <row r="18" spans="1:11" ht="12.75">
      <c r="A18" s="213" t="s">
        <v>145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76931551</v>
      </c>
      <c r="K18" s="7">
        <v>74387770</v>
      </c>
    </row>
    <row r="19" spans="1:11" ht="12.75">
      <c r="A19" s="213" t="s">
        <v>146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13939974</v>
      </c>
      <c r="K19" s="7">
        <f>13314965+1271189</f>
        <v>14586154</v>
      </c>
    </row>
    <row r="20" spans="1:11" ht="12.75">
      <c r="A20" s="213" t="s">
        <v>147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5645218</v>
      </c>
      <c r="K20" s="7">
        <v>5481197</v>
      </c>
    </row>
    <row r="21" spans="1:11" ht="12.75">
      <c r="A21" s="213" t="s">
        <v>148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149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335434</v>
      </c>
      <c r="K22" s="7">
        <v>508683</v>
      </c>
    </row>
    <row r="23" spans="1:11" ht="12.75">
      <c r="A23" s="213" t="s">
        <v>150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26158200</v>
      </c>
      <c r="K23" s="7">
        <f>27772860-1271189</f>
        <v>26501671</v>
      </c>
    </row>
    <row r="24" spans="1:11" ht="12.75">
      <c r="A24" s="213" t="s">
        <v>151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364627</v>
      </c>
      <c r="K24" s="7">
        <v>304623</v>
      </c>
    </row>
    <row r="25" spans="1:11" ht="12.75">
      <c r="A25" s="213" t="s">
        <v>152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59469719</v>
      </c>
      <c r="K25" s="7">
        <v>59469718</v>
      </c>
    </row>
    <row r="26" spans="1:11" ht="12.75">
      <c r="A26" s="213" t="s">
        <v>225</v>
      </c>
      <c r="B26" s="214"/>
      <c r="C26" s="214"/>
      <c r="D26" s="214"/>
      <c r="E26" s="214"/>
      <c r="F26" s="214"/>
      <c r="G26" s="214"/>
      <c r="H26" s="215"/>
      <c r="I26" s="1">
        <v>20</v>
      </c>
      <c r="J26" s="46">
        <f>SUM(J27:J34)</f>
        <v>18609008</v>
      </c>
      <c r="K26" s="46">
        <f>SUM(K27:K34)</f>
        <v>19484366</v>
      </c>
    </row>
    <row r="27" spans="1:11" ht="12.75">
      <c r="A27" s="213" t="s">
        <v>153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0</v>
      </c>
      <c r="K27" s="7">
        <v>0</v>
      </c>
    </row>
    <row r="28" spans="1:11" ht="12.75">
      <c r="A28" s="213" t="s">
        <v>154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>
        <v>0</v>
      </c>
    </row>
    <row r="29" spans="1:11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0</v>
      </c>
      <c r="K29" s="7">
        <v>0</v>
      </c>
    </row>
    <row r="30" spans="1:11" ht="12.75">
      <c r="A30" s="213" t="s">
        <v>335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156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0</v>
      </c>
      <c r="K31" s="7">
        <v>0</v>
      </c>
    </row>
    <row r="32" spans="1:11" ht="12.75">
      <c r="A32" s="213" t="s">
        <v>157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444745</v>
      </c>
      <c r="K32" s="7">
        <v>766018</v>
      </c>
    </row>
    <row r="33" spans="1:11" ht="12.75">
      <c r="A33" s="213" t="s">
        <v>158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f>2948552+346390</f>
        <v>3294942</v>
      </c>
      <c r="K33" s="7">
        <f>2881185+1081277</f>
        <v>3962462</v>
      </c>
    </row>
    <row r="34" spans="1:11" ht="12.75">
      <c r="A34" s="213" t="s">
        <v>159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14869321</v>
      </c>
      <c r="K34" s="7">
        <v>14755886</v>
      </c>
    </row>
    <row r="35" spans="1:11" ht="12.75">
      <c r="A35" s="213" t="s">
        <v>226</v>
      </c>
      <c r="B35" s="214"/>
      <c r="C35" s="214"/>
      <c r="D35" s="214"/>
      <c r="E35" s="214"/>
      <c r="F35" s="214"/>
      <c r="G35" s="214"/>
      <c r="H35" s="215"/>
      <c r="I35" s="1">
        <v>29</v>
      </c>
      <c r="J35" s="46">
        <f>SUM(J36:J38)</f>
        <v>1604160</v>
      </c>
      <c r="K35" s="46">
        <f>SUM(K36:K38)</f>
        <v>1477105</v>
      </c>
    </row>
    <row r="36" spans="1:11" ht="12.75">
      <c r="A36" s="213" t="s">
        <v>160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161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1204689</v>
      </c>
      <c r="K37" s="7">
        <v>1077979</v>
      </c>
    </row>
    <row r="38" spans="1:11" ht="12.75">
      <c r="A38" s="213" t="s">
        <v>162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399471</v>
      </c>
      <c r="K38" s="7">
        <v>399126</v>
      </c>
    </row>
    <row r="39" spans="1:11" ht="12.75">
      <c r="A39" s="213" t="s">
        <v>163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0" t="s">
        <v>164</v>
      </c>
      <c r="B40" s="211"/>
      <c r="C40" s="211"/>
      <c r="D40" s="211"/>
      <c r="E40" s="211"/>
      <c r="F40" s="211"/>
      <c r="G40" s="211"/>
      <c r="H40" s="212"/>
      <c r="I40" s="1">
        <v>34</v>
      </c>
      <c r="J40" s="116">
        <f>J41+J49+J56+J64</f>
        <v>260843356</v>
      </c>
      <c r="K40" s="116">
        <f>K41+K49+K56+K64</f>
        <v>267964335</v>
      </c>
    </row>
    <row r="41" spans="1:11" ht="12.75">
      <c r="A41" s="213" t="s">
        <v>227</v>
      </c>
      <c r="B41" s="214"/>
      <c r="C41" s="214"/>
      <c r="D41" s="214"/>
      <c r="E41" s="214"/>
      <c r="F41" s="214"/>
      <c r="G41" s="214"/>
      <c r="H41" s="215"/>
      <c r="I41" s="1">
        <v>35</v>
      </c>
      <c r="J41" s="46">
        <f>SUM(J42:J48)</f>
        <v>198297661</v>
      </c>
      <c r="K41" s="46">
        <f>SUM(K42:K48)</f>
        <v>198281493</v>
      </c>
    </row>
    <row r="42" spans="1:11" ht="12.75">
      <c r="A42" s="213" t="s">
        <v>165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0</v>
      </c>
      <c r="K42" s="7">
        <v>0</v>
      </c>
    </row>
    <row r="43" spans="1:11" ht="12.75">
      <c r="A43" s="213" t="s">
        <v>166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90400840</v>
      </c>
      <c r="K43" s="7">
        <v>90384672</v>
      </c>
    </row>
    <row r="44" spans="1:11" ht="12.75">
      <c r="A44" s="213" t="s">
        <v>167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0</v>
      </c>
      <c r="K44" s="7">
        <v>0</v>
      </c>
    </row>
    <row r="45" spans="1:11" ht="12.75">
      <c r="A45" s="213" t="s">
        <v>168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568162</v>
      </c>
      <c r="K45" s="7">
        <v>568162</v>
      </c>
    </row>
    <row r="46" spans="1:11" ht="12.75">
      <c r="A46" s="213" t="s">
        <v>169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0</v>
      </c>
      <c r="K46" s="7">
        <v>0</v>
      </c>
    </row>
    <row r="47" spans="1:11" ht="12.75">
      <c r="A47" s="213" t="s">
        <v>170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107328659</v>
      </c>
      <c r="K47" s="7">
        <v>107328659</v>
      </c>
    </row>
    <row r="48" spans="1:11" ht="12.75">
      <c r="A48" s="213" t="s">
        <v>171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>
        <v>0</v>
      </c>
    </row>
    <row r="49" spans="1:11" ht="12.75">
      <c r="A49" s="213" t="s">
        <v>228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6">
        <f>SUM(J50:J55)</f>
        <v>44677396</v>
      </c>
      <c r="K49" s="46">
        <f>SUM(K50:K55)</f>
        <v>47288273</v>
      </c>
    </row>
    <row r="50" spans="1:11" ht="12.75">
      <c r="A50" s="213" t="s">
        <v>172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20187</v>
      </c>
      <c r="K50" s="7">
        <v>35706</v>
      </c>
    </row>
    <row r="51" spans="1:11" ht="12.75">
      <c r="A51" s="213" t="s">
        <v>173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40296014</v>
      </c>
      <c r="K51" s="7">
        <v>41618251</v>
      </c>
    </row>
    <row r="52" spans="1:11" ht="12.75">
      <c r="A52" s="213" t="s">
        <v>174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175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678740</v>
      </c>
      <c r="K53" s="7">
        <v>820316</v>
      </c>
    </row>
    <row r="54" spans="1:11" ht="12.75">
      <c r="A54" s="213" t="s">
        <v>176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1743211</v>
      </c>
      <c r="K54" s="7">
        <v>1477749</v>
      </c>
    </row>
    <row r="55" spans="1:11" ht="12.75">
      <c r="A55" s="213" t="s">
        <v>177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1939244</v>
      </c>
      <c r="K55" s="7">
        <v>3336251</v>
      </c>
    </row>
    <row r="56" spans="1:11" ht="12.75">
      <c r="A56" s="213" t="s">
        <v>229</v>
      </c>
      <c r="B56" s="214"/>
      <c r="C56" s="214"/>
      <c r="D56" s="214"/>
      <c r="E56" s="214"/>
      <c r="F56" s="214"/>
      <c r="G56" s="214"/>
      <c r="H56" s="215"/>
      <c r="I56" s="1">
        <v>50</v>
      </c>
      <c r="J56" s="46">
        <f>SUM(J57:J63)</f>
        <v>13265686</v>
      </c>
      <c r="K56" s="46">
        <f>SUM(K57:K63)</f>
        <v>14297827</v>
      </c>
    </row>
    <row r="57" spans="1:11" ht="12.75">
      <c r="A57" s="213" t="s">
        <v>153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154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137720</v>
      </c>
      <c r="K58" s="7">
        <v>157720</v>
      </c>
    </row>
    <row r="59" spans="1:11" ht="12.75">
      <c r="A59" s="213" t="s">
        <v>155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335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>
        <v>0</v>
      </c>
    </row>
    <row r="61" spans="1:11" ht="12.75">
      <c r="A61" s="213" t="s">
        <v>156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0</v>
      </c>
      <c r="K61" s="7">
        <v>0</v>
      </c>
    </row>
    <row r="62" spans="1:11" ht="12.75">
      <c r="A62" s="213" t="s">
        <v>157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f>10637558+2490408</f>
        <v>13127966</v>
      </c>
      <c r="K62" s="7">
        <v>14140107</v>
      </c>
    </row>
    <row r="63" spans="1:11" ht="12.75">
      <c r="A63" s="213" t="s">
        <v>178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0</v>
      </c>
      <c r="K63" s="7">
        <v>0</v>
      </c>
    </row>
    <row r="64" spans="1:11" ht="12.75">
      <c r="A64" s="213" t="s">
        <v>179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4602613</v>
      </c>
      <c r="K64" s="7">
        <v>8096742</v>
      </c>
    </row>
    <row r="65" spans="1:11" ht="12.75">
      <c r="A65" s="210" t="s">
        <v>336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8455346</v>
      </c>
      <c r="K65" s="7">
        <v>13982019</v>
      </c>
    </row>
    <row r="66" spans="1:11" ht="12.75">
      <c r="A66" s="210" t="s">
        <v>180</v>
      </c>
      <c r="B66" s="211"/>
      <c r="C66" s="211"/>
      <c r="D66" s="211"/>
      <c r="E66" s="211"/>
      <c r="F66" s="211"/>
      <c r="G66" s="211"/>
      <c r="H66" s="212"/>
      <c r="I66" s="1">
        <v>60</v>
      </c>
      <c r="J66" s="116">
        <f>J7+J8+J40+J65</f>
        <v>581826561</v>
      </c>
      <c r="K66" s="116">
        <f>K7+K8+K40+K65</f>
        <v>593588498</v>
      </c>
    </row>
    <row r="67" spans="1:11" ht="12.75">
      <c r="A67" s="234" t="s">
        <v>181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38462783</v>
      </c>
      <c r="K67" s="8">
        <v>52059837</v>
      </c>
    </row>
    <row r="68" spans="1:11" ht="12.75">
      <c r="A68" s="222" t="s">
        <v>182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26" t="s">
        <v>183</v>
      </c>
      <c r="B69" s="227"/>
      <c r="C69" s="227"/>
      <c r="D69" s="227"/>
      <c r="E69" s="227"/>
      <c r="F69" s="227"/>
      <c r="G69" s="227"/>
      <c r="H69" s="233"/>
      <c r="I69" s="3">
        <v>62</v>
      </c>
      <c r="J69" s="118">
        <f>J70+J71+J72+J78+J79+J82+J85</f>
        <v>-23799420</v>
      </c>
      <c r="K69" s="118">
        <f>K70+K71+K72+K78+K79+K82+K85</f>
        <v>-12994472</v>
      </c>
    </row>
    <row r="70" spans="1:11" ht="12.75">
      <c r="A70" s="213" t="s">
        <v>184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116604710</v>
      </c>
      <c r="K70" s="7">
        <v>116604710</v>
      </c>
    </row>
    <row r="71" spans="1:11" ht="12.75">
      <c r="A71" s="213" t="s">
        <v>185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0</v>
      </c>
      <c r="K71" s="7">
        <v>0</v>
      </c>
    </row>
    <row r="72" spans="1:11" ht="12.75">
      <c r="A72" s="213" t="s">
        <v>186</v>
      </c>
      <c r="B72" s="214"/>
      <c r="C72" s="214"/>
      <c r="D72" s="214"/>
      <c r="E72" s="214"/>
      <c r="F72" s="214"/>
      <c r="G72" s="214"/>
      <c r="H72" s="215"/>
      <c r="I72" s="1">
        <v>65</v>
      </c>
      <c r="J72" s="46">
        <f>J73+J74-J75+J76+J77</f>
        <v>-2479608</v>
      </c>
      <c r="K72" s="46">
        <f>K73+K74-K75+K76+K77</f>
        <v>-5583987</v>
      </c>
    </row>
    <row r="73" spans="1:11" ht="12.75">
      <c r="A73" s="213" t="s">
        <v>187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188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1446309</v>
      </c>
      <c r="K74" s="7">
        <v>1446309</v>
      </c>
    </row>
    <row r="75" spans="1:11" ht="12.75">
      <c r="A75" s="213" t="s">
        <v>189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3925917</v>
      </c>
      <c r="K75" s="7">
        <v>7030296</v>
      </c>
    </row>
    <row r="76" spans="1:11" ht="12.75">
      <c r="A76" s="213" t="s">
        <v>190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191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0</v>
      </c>
      <c r="K77" s="7">
        <v>0</v>
      </c>
    </row>
    <row r="78" spans="1:11" ht="12.75">
      <c r="A78" s="213" t="s">
        <v>192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f>147371922-15137+1</f>
        <v>147356786</v>
      </c>
      <c r="K78" s="7">
        <f>145578246-74070</f>
        <v>145504176</v>
      </c>
    </row>
    <row r="79" spans="1:11" ht="12.75">
      <c r="A79" s="213" t="s">
        <v>193</v>
      </c>
      <c r="B79" s="214"/>
      <c r="C79" s="214"/>
      <c r="D79" s="214"/>
      <c r="E79" s="214"/>
      <c r="F79" s="214"/>
      <c r="G79" s="214"/>
      <c r="H79" s="215"/>
      <c r="I79" s="1">
        <v>72</v>
      </c>
      <c r="J79" s="46">
        <f>J80-J81</f>
        <v>-228039382</v>
      </c>
      <c r="K79" s="46">
        <f>K80-K81</f>
        <v>-282278488</v>
      </c>
    </row>
    <row r="80" spans="1:11" ht="12.75">
      <c r="A80" s="230" t="s">
        <v>194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195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228039382</v>
      </c>
      <c r="K81" s="7">
        <v>282278488</v>
      </c>
    </row>
    <row r="82" spans="1:11" ht="12.75">
      <c r="A82" s="213" t="s">
        <v>196</v>
      </c>
      <c r="B82" s="214"/>
      <c r="C82" s="214"/>
      <c r="D82" s="214"/>
      <c r="E82" s="214"/>
      <c r="F82" s="214"/>
      <c r="G82" s="214"/>
      <c r="H82" s="215"/>
      <c r="I82" s="1">
        <v>75</v>
      </c>
      <c r="J82" s="46">
        <f>J83-J84</f>
        <v>-56280307</v>
      </c>
      <c r="K82" s="46">
        <f>K83-K84</f>
        <v>13410974</v>
      </c>
    </row>
    <row r="83" spans="1:11" ht="12.75">
      <c r="A83" s="230" t="s">
        <v>197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13410974</v>
      </c>
    </row>
    <row r="84" spans="1:11" ht="12.75">
      <c r="A84" s="230" t="s">
        <v>198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56280307</v>
      </c>
      <c r="K84" s="7">
        <v>0</v>
      </c>
    </row>
    <row r="85" spans="1:11" ht="12.75">
      <c r="A85" s="213" t="s">
        <v>199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-961619</v>
      </c>
      <c r="K85" s="7">
        <v>-651857</v>
      </c>
    </row>
    <row r="86" spans="1:11" ht="12.75">
      <c r="A86" s="210" t="s">
        <v>230</v>
      </c>
      <c r="B86" s="211"/>
      <c r="C86" s="211"/>
      <c r="D86" s="211"/>
      <c r="E86" s="211"/>
      <c r="F86" s="211"/>
      <c r="G86" s="211"/>
      <c r="H86" s="212"/>
      <c r="I86" s="1">
        <v>79</v>
      </c>
      <c r="J86" s="116">
        <f>SUM(J87:J89)</f>
        <v>9097176</v>
      </c>
      <c r="K86" s="116">
        <f>SUM(K87:K89)</f>
        <v>6851514</v>
      </c>
    </row>
    <row r="87" spans="1:11" ht="12.75">
      <c r="A87" s="213" t="s">
        <v>200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768473</v>
      </c>
      <c r="K87" s="7">
        <v>768473</v>
      </c>
    </row>
    <row r="88" spans="1:11" ht="12.75">
      <c r="A88" s="213" t="s">
        <v>201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>
        <v>0</v>
      </c>
    </row>
    <row r="89" spans="1:11" ht="12.75">
      <c r="A89" s="213" t="s">
        <v>202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8328703</v>
      </c>
      <c r="K89" s="7">
        <v>6083041</v>
      </c>
    </row>
    <row r="90" spans="1:11" ht="12.75">
      <c r="A90" s="210" t="s">
        <v>231</v>
      </c>
      <c r="B90" s="211"/>
      <c r="C90" s="211"/>
      <c r="D90" s="211"/>
      <c r="E90" s="211"/>
      <c r="F90" s="211"/>
      <c r="G90" s="211"/>
      <c r="H90" s="212"/>
      <c r="I90" s="1">
        <v>83</v>
      </c>
      <c r="J90" s="116">
        <f>SUM(J91:J99)</f>
        <v>324153781</v>
      </c>
      <c r="K90" s="116">
        <f>SUM(K91:K99)</f>
        <v>304367698</v>
      </c>
    </row>
    <row r="91" spans="1:11" ht="12.75">
      <c r="A91" s="213" t="s">
        <v>203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151545</v>
      </c>
      <c r="K91" s="7">
        <v>87858</v>
      </c>
    </row>
    <row r="92" spans="1:11" ht="12.75">
      <c r="A92" s="213" t="s">
        <v>204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70500</v>
      </c>
      <c r="K92" s="7">
        <v>70500</v>
      </c>
    </row>
    <row r="93" spans="1:11" ht="12.75">
      <c r="A93" s="213" t="s">
        <v>205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280626784</v>
      </c>
      <c r="K93" s="7">
        <v>266948393</v>
      </c>
    </row>
    <row r="94" spans="1:11" ht="12.75">
      <c r="A94" s="213" t="s">
        <v>206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0</v>
      </c>
      <c r="K94" s="7">
        <v>0</v>
      </c>
    </row>
    <row r="95" spans="1:11" ht="12.75">
      <c r="A95" s="213" t="s">
        <v>207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6322152</v>
      </c>
      <c r="K95" s="7">
        <v>3187430</v>
      </c>
    </row>
    <row r="96" spans="1:11" ht="12.75">
      <c r="A96" s="213" t="s">
        <v>208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337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210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4464873</v>
      </c>
      <c r="K98" s="7">
        <v>2124166</v>
      </c>
    </row>
    <row r="99" spans="1:11" ht="12.75">
      <c r="A99" s="213" t="s">
        <v>211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32517927</v>
      </c>
      <c r="K99" s="7">
        <v>31949351</v>
      </c>
    </row>
    <row r="100" spans="1:11" ht="12.75">
      <c r="A100" s="210" t="s">
        <v>232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16">
        <f>SUM(J101:J112)</f>
        <v>240199294</v>
      </c>
      <c r="K100" s="116">
        <f>SUM(K101:K112)</f>
        <v>260978853</v>
      </c>
    </row>
    <row r="101" spans="1:11" ht="12.75" customHeight="1">
      <c r="A101" s="213" t="s">
        <v>203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294235</v>
      </c>
      <c r="K101" s="7">
        <v>323081</v>
      </c>
    </row>
    <row r="102" spans="1:11" ht="12.75" customHeight="1">
      <c r="A102" s="213" t="s">
        <v>204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2622731</v>
      </c>
      <c r="K102" s="7">
        <v>4106531</v>
      </c>
    </row>
    <row r="103" spans="1:11" ht="12.75" customHeight="1">
      <c r="A103" s="213" t="s">
        <v>205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88156492</v>
      </c>
      <c r="K103" s="7">
        <v>95198430</v>
      </c>
    </row>
    <row r="104" spans="1:11" ht="12.75" customHeight="1">
      <c r="A104" s="213" t="s">
        <v>206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3222927</v>
      </c>
      <c r="K104" s="7">
        <v>6347540</v>
      </c>
    </row>
    <row r="105" spans="1:11" ht="12.75" customHeight="1">
      <c r="A105" s="213" t="s">
        <v>207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26155383</v>
      </c>
      <c r="K105" s="7">
        <v>32502352</v>
      </c>
    </row>
    <row r="106" spans="1:11" ht="12.75" customHeight="1">
      <c r="A106" s="213" t="s">
        <v>208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70973241</v>
      </c>
      <c r="K106" s="7">
        <v>70973241</v>
      </c>
    </row>
    <row r="107" spans="1:11" ht="12.75" customHeight="1">
      <c r="A107" s="213" t="s">
        <v>209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212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9417958</v>
      </c>
      <c r="K108" s="7">
        <v>9060601</v>
      </c>
    </row>
    <row r="109" spans="1:11" ht="12.75">
      <c r="A109" s="213" t="s">
        <v>338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13280559</v>
      </c>
      <c r="K109" s="7">
        <v>15021058</v>
      </c>
    </row>
    <row r="110" spans="1:11" ht="12.75">
      <c r="A110" s="213" t="s">
        <v>213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214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215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26075768</v>
      </c>
      <c r="K112" s="7">
        <v>27446019</v>
      </c>
    </row>
    <row r="113" spans="1:11" ht="12.75">
      <c r="A113" s="210" t="s">
        <v>216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32175730</v>
      </c>
      <c r="K113" s="7">
        <v>34384905</v>
      </c>
    </row>
    <row r="114" spans="1:11" ht="12.75">
      <c r="A114" s="210" t="s">
        <v>339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16">
        <f>J69+J86+J90+J100+J113</f>
        <v>581826561</v>
      </c>
      <c r="K114" s="116">
        <f>K69+K86+K90+K100+K113</f>
        <v>593588498</v>
      </c>
    </row>
    <row r="115" spans="1:11" ht="12.75">
      <c r="A115" s="219" t="s">
        <v>217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38462783</v>
      </c>
      <c r="K115" s="8">
        <f>K67</f>
        <v>52059837</v>
      </c>
    </row>
    <row r="116" spans="1:11" ht="12.75">
      <c r="A116" s="222" t="s">
        <v>218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219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13" t="s">
        <v>220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-22837801</v>
      </c>
      <c r="K118" s="7">
        <f>K69-K119</f>
        <v>-12342615</v>
      </c>
    </row>
    <row r="119" spans="1:11" ht="12.75">
      <c r="A119" s="216" t="s">
        <v>221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>
        <f>J85</f>
        <v>-961619</v>
      </c>
      <c r="K119" s="8">
        <f>K85</f>
        <v>-651857</v>
      </c>
    </row>
  </sheetData>
  <sheetProtection/>
  <mergeCells count="119"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23:H23"/>
    <mergeCell ref="A33:H33"/>
    <mergeCell ref="A30:H30"/>
    <mergeCell ref="A35:H35"/>
    <mergeCell ref="A36:H36"/>
    <mergeCell ref="A28:H28"/>
    <mergeCell ref="A34:H34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83:H83"/>
    <mergeCell ref="A80:H80"/>
    <mergeCell ref="A84:H84"/>
    <mergeCell ref="A82:H82"/>
    <mergeCell ref="A81:H81"/>
    <mergeCell ref="A79:H79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70" sqref="J70:M71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3" t="s">
        <v>222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6" t="s">
        <v>365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15" customFormat="1" ht="12.75" customHeight="1">
      <c r="A3" s="257" t="s">
        <v>340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4">
      <c r="A4" s="255" t="s">
        <v>133</v>
      </c>
      <c r="B4" s="255"/>
      <c r="C4" s="255"/>
      <c r="D4" s="255"/>
      <c r="E4" s="255"/>
      <c r="F4" s="255"/>
      <c r="G4" s="255"/>
      <c r="H4" s="255"/>
      <c r="I4" s="50" t="s">
        <v>135</v>
      </c>
      <c r="J4" s="251" t="s">
        <v>134</v>
      </c>
      <c r="K4" s="251"/>
      <c r="L4" s="251" t="s">
        <v>136</v>
      </c>
      <c r="M4" s="251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6" t="s">
        <v>233</v>
      </c>
      <c r="B7" s="227"/>
      <c r="C7" s="227"/>
      <c r="D7" s="227"/>
      <c r="E7" s="227"/>
      <c r="F7" s="227"/>
      <c r="G7" s="227"/>
      <c r="H7" s="233"/>
      <c r="I7" s="3">
        <v>111</v>
      </c>
      <c r="J7" s="118">
        <f>SUM(J8:J9)</f>
        <v>74355035</v>
      </c>
      <c r="K7" s="118">
        <f>SUM(K8:K9)</f>
        <v>37716807</v>
      </c>
      <c r="L7" s="141">
        <f>SUM(L8:L9)</f>
        <v>102610633</v>
      </c>
      <c r="M7" s="141">
        <f>SUM(M8:M9)</f>
        <v>56222683</v>
      </c>
    </row>
    <row r="8" spans="1:13" ht="12.75">
      <c r="A8" s="210" t="s">
        <v>234</v>
      </c>
      <c r="B8" s="211"/>
      <c r="C8" s="211"/>
      <c r="D8" s="211"/>
      <c r="E8" s="211"/>
      <c r="F8" s="211"/>
      <c r="G8" s="211"/>
      <c r="H8" s="212"/>
      <c r="I8" s="1">
        <v>112</v>
      </c>
      <c r="J8" s="137">
        <v>70651824</v>
      </c>
      <c r="K8" s="137">
        <f>J8-34703559</f>
        <v>35948265</v>
      </c>
      <c r="L8" s="137">
        <v>97591230</v>
      </c>
      <c r="M8" s="137">
        <f>L8-45205212</f>
        <v>52386018</v>
      </c>
    </row>
    <row r="9" spans="1:13" ht="12.75">
      <c r="A9" s="210" t="s">
        <v>235</v>
      </c>
      <c r="B9" s="211"/>
      <c r="C9" s="211"/>
      <c r="D9" s="211"/>
      <c r="E9" s="211"/>
      <c r="F9" s="211"/>
      <c r="G9" s="211"/>
      <c r="H9" s="212"/>
      <c r="I9" s="1">
        <v>113</v>
      </c>
      <c r="J9" s="137">
        <v>3703211</v>
      </c>
      <c r="K9" s="137">
        <f>J9-1934669</f>
        <v>1768542</v>
      </c>
      <c r="L9" s="137">
        <v>5019403</v>
      </c>
      <c r="M9" s="137">
        <f>L9-1182738</f>
        <v>3836665</v>
      </c>
    </row>
    <row r="10" spans="1:13" ht="12.75">
      <c r="A10" s="210" t="s">
        <v>236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16">
        <f>J11+J12+J16+J20+J21+J22+J25+J26</f>
        <v>80983097</v>
      </c>
      <c r="K10" s="116">
        <f>K11+K12+K16+K20+K21+K22+K25+K26</f>
        <v>39133700</v>
      </c>
      <c r="L10" s="142">
        <f>L11+L12+L16+L20+L21+L22+L25+L26</f>
        <v>87971145</v>
      </c>
      <c r="M10" s="142">
        <f>M11+M12+M16+M20+M21+M22+M25+M26</f>
        <v>46213691</v>
      </c>
    </row>
    <row r="11" spans="1:13" ht="12.75">
      <c r="A11" s="210" t="s">
        <v>237</v>
      </c>
      <c r="B11" s="211"/>
      <c r="C11" s="211"/>
      <c r="D11" s="211"/>
      <c r="E11" s="211"/>
      <c r="F11" s="211"/>
      <c r="G11" s="211"/>
      <c r="H11" s="212"/>
      <c r="I11" s="1">
        <v>115</v>
      </c>
      <c r="J11" s="137">
        <v>-251137</v>
      </c>
      <c r="K11" s="137">
        <f>J11</f>
        <v>-251137</v>
      </c>
      <c r="L11" s="137">
        <v>-26000</v>
      </c>
      <c r="M11" s="137">
        <v>-26000</v>
      </c>
    </row>
    <row r="12" spans="1:13" ht="12.75">
      <c r="A12" s="210" t="s">
        <v>238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6">
        <f>SUM(J13:J15)</f>
        <v>19846558</v>
      </c>
      <c r="K12" s="46">
        <f>SUM(K13:K15)</f>
        <v>10034742</v>
      </c>
      <c r="L12" s="140">
        <f>SUM(L13:L15)</f>
        <v>28590220</v>
      </c>
      <c r="M12" s="140">
        <f>SUM(M13:M15)</f>
        <v>15707929</v>
      </c>
    </row>
    <row r="13" spans="1:13" ht="12.75">
      <c r="A13" s="213" t="s">
        <v>239</v>
      </c>
      <c r="B13" s="214"/>
      <c r="C13" s="214"/>
      <c r="D13" s="214"/>
      <c r="E13" s="214"/>
      <c r="F13" s="214"/>
      <c r="G13" s="214"/>
      <c r="H13" s="215"/>
      <c r="I13" s="1">
        <v>117</v>
      </c>
      <c r="J13" s="137">
        <v>3502603</v>
      </c>
      <c r="K13" s="137">
        <f>J13-1845894</f>
        <v>1656709</v>
      </c>
      <c r="L13" s="137">
        <v>3939825</v>
      </c>
      <c r="M13" s="137">
        <f>L13-1996186</f>
        <v>1943639</v>
      </c>
    </row>
    <row r="14" spans="1:13" ht="12.75">
      <c r="A14" s="213" t="s">
        <v>240</v>
      </c>
      <c r="B14" s="214"/>
      <c r="C14" s="214"/>
      <c r="D14" s="214"/>
      <c r="E14" s="214"/>
      <c r="F14" s="214"/>
      <c r="G14" s="214"/>
      <c r="H14" s="215"/>
      <c r="I14" s="1">
        <v>118</v>
      </c>
      <c r="J14" s="137">
        <v>0</v>
      </c>
      <c r="K14" s="137">
        <f>J14</f>
        <v>0</v>
      </c>
      <c r="L14" s="137">
        <v>0</v>
      </c>
      <c r="M14" s="137"/>
    </row>
    <row r="15" spans="1:13" ht="12.75">
      <c r="A15" s="213" t="s">
        <v>241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137">
        <v>16343955</v>
      </c>
      <c r="K15" s="137">
        <f>J15-7965922</f>
        <v>8378033</v>
      </c>
      <c r="L15" s="137">
        <v>24650395</v>
      </c>
      <c r="M15" s="137">
        <f>L15-10886105</f>
        <v>13764290</v>
      </c>
    </row>
    <row r="16" spans="1:13" ht="12.75">
      <c r="A16" s="210" t="s">
        <v>242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6">
        <f>SUM(J17:J19)</f>
        <v>44284862</v>
      </c>
      <c r="K16" s="46">
        <f>SUM(K17:K19)</f>
        <v>20714305</v>
      </c>
      <c r="L16" s="140">
        <f>SUM(L17:L19)</f>
        <v>44321271</v>
      </c>
      <c r="M16" s="140">
        <f>SUM(M17:M19)</f>
        <v>22248442</v>
      </c>
    </row>
    <row r="17" spans="1:13" ht="12.75">
      <c r="A17" s="213" t="s">
        <v>243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137">
        <v>25818004</v>
      </c>
      <c r="K17" s="137">
        <f>J17-13558926</f>
        <v>12259078</v>
      </c>
      <c r="L17" s="137">
        <v>24262903</v>
      </c>
      <c r="M17" s="137">
        <f>L17-12252279</f>
        <v>12010624</v>
      </c>
    </row>
    <row r="18" spans="1:13" ht="12.75">
      <c r="A18" s="213" t="s">
        <v>244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137">
        <v>12012592</v>
      </c>
      <c r="K18" s="137">
        <f>J18-6574931</f>
        <v>5437661</v>
      </c>
      <c r="L18" s="137">
        <v>13942756</v>
      </c>
      <c r="M18" s="137">
        <f>L18-6879111</f>
        <v>7063645</v>
      </c>
    </row>
    <row r="19" spans="1:13" ht="12.75">
      <c r="A19" s="213" t="s">
        <v>245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137">
        <v>6454266</v>
      </c>
      <c r="K19" s="137">
        <f>J19-3436700</f>
        <v>3017566</v>
      </c>
      <c r="L19" s="137">
        <v>6115612</v>
      </c>
      <c r="M19" s="137">
        <f>L19-2941439</f>
        <v>3174173</v>
      </c>
    </row>
    <row r="20" spans="1:13" ht="12.75">
      <c r="A20" s="210" t="s">
        <v>246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37">
        <v>4258914</v>
      </c>
      <c r="K20" s="137">
        <f>J20-2547560</f>
        <v>1711354</v>
      </c>
      <c r="L20" s="137">
        <v>4288662</v>
      </c>
      <c r="M20" s="137">
        <f>L20-2150165</f>
        <v>2138497</v>
      </c>
    </row>
    <row r="21" spans="1:13" ht="12.75">
      <c r="A21" s="210" t="s">
        <v>247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37">
        <v>10016718</v>
      </c>
      <c r="K21" s="137">
        <f>J21-4085285</f>
        <v>5931433</v>
      </c>
      <c r="L21" s="137">
        <v>8890589</v>
      </c>
      <c r="M21" s="137">
        <f>L21-4001620</f>
        <v>4888969</v>
      </c>
    </row>
    <row r="22" spans="1:13" ht="12.75">
      <c r="A22" s="210" t="s">
        <v>248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6">
        <f>SUM(J23:J24)</f>
        <v>1221426</v>
      </c>
      <c r="K22" s="46">
        <f>SUM(K23:K24)</f>
        <v>67254</v>
      </c>
      <c r="L22" s="140">
        <f>SUM(L23:L24)</f>
        <v>1708119</v>
      </c>
      <c r="M22" s="140">
        <f>SUM(M23:M24)</f>
        <v>1089173</v>
      </c>
    </row>
    <row r="23" spans="1:13" ht="12.75">
      <c r="A23" s="213" t="s">
        <v>249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v>0</v>
      </c>
      <c r="K23" s="7">
        <v>0</v>
      </c>
      <c r="L23" s="137"/>
      <c r="M23" s="137">
        <f>L23</f>
        <v>0</v>
      </c>
    </row>
    <row r="24" spans="1:13" ht="12.75">
      <c r="A24" s="213" t="s">
        <v>250</v>
      </c>
      <c r="B24" s="214"/>
      <c r="C24" s="214"/>
      <c r="D24" s="214"/>
      <c r="E24" s="214"/>
      <c r="F24" s="214"/>
      <c r="G24" s="214"/>
      <c r="H24" s="215"/>
      <c r="I24" s="1">
        <v>128</v>
      </c>
      <c r="J24" s="137">
        <v>1221426</v>
      </c>
      <c r="K24" s="137">
        <f>J24-1154172</f>
        <v>67254</v>
      </c>
      <c r="L24" s="137">
        <v>1708119</v>
      </c>
      <c r="M24" s="137">
        <f>L24-618946</f>
        <v>1089173</v>
      </c>
    </row>
    <row r="25" spans="1:13" ht="12.75">
      <c r="A25" s="210" t="s">
        <v>251</v>
      </c>
      <c r="B25" s="211"/>
      <c r="C25" s="211"/>
      <c r="D25" s="211"/>
      <c r="E25" s="211"/>
      <c r="F25" s="211"/>
      <c r="G25" s="211"/>
      <c r="H25" s="212"/>
      <c r="I25" s="1">
        <v>129</v>
      </c>
      <c r="J25" s="137">
        <v>670861</v>
      </c>
      <c r="K25" s="137">
        <f>J25-617707</f>
        <v>53154</v>
      </c>
      <c r="L25" s="137">
        <v>0</v>
      </c>
      <c r="M25" s="137">
        <f>L25-0</f>
        <v>0</v>
      </c>
    </row>
    <row r="26" spans="1:13" ht="12.75">
      <c r="A26" s="210" t="s">
        <v>252</v>
      </c>
      <c r="B26" s="211"/>
      <c r="C26" s="211"/>
      <c r="D26" s="211"/>
      <c r="E26" s="211"/>
      <c r="F26" s="211"/>
      <c r="G26" s="211"/>
      <c r="H26" s="212"/>
      <c r="I26" s="1">
        <v>130</v>
      </c>
      <c r="J26" s="137">
        <v>934895</v>
      </c>
      <c r="K26" s="137">
        <f>J26-62300</f>
        <v>872595</v>
      </c>
      <c r="L26" s="137">
        <v>198284</v>
      </c>
      <c r="M26" s="137">
        <f>L26-31603</f>
        <v>166681</v>
      </c>
    </row>
    <row r="27" spans="1:13" ht="12.75">
      <c r="A27" s="210" t="s">
        <v>253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16">
        <f>SUM(J28:J32)</f>
        <v>6285032</v>
      </c>
      <c r="K27" s="116">
        <f>SUM(K28:K32)</f>
        <v>1648324</v>
      </c>
      <c r="L27" s="142">
        <f>SUM(L28:L32)</f>
        <v>6792200</v>
      </c>
      <c r="M27" s="142">
        <f>SUM(M28:M32)</f>
        <v>1761473</v>
      </c>
    </row>
    <row r="28" spans="1:13" ht="24" customHeight="1">
      <c r="A28" s="210" t="s">
        <v>254</v>
      </c>
      <c r="B28" s="211"/>
      <c r="C28" s="211"/>
      <c r="D28" s="211"/>
      <c r="E28" s="211"/>
      <c r="F28" s="211"/>
      <c r="G28" s="211"/>
      <c r="H28" s="212"/>
      <c r="I28" s="1">
        <v>132</v>
      </c>
      <c r="J28" s="137">
        <v>0</v>
      </c>
      <c r="K28" s="137">
        <f>J28</f>
        <v>0</v>
      </c>
      <c r="L28" s="137">
        <v>0</v>
      </c>
      <c r="M28" s="137">
        <f>L28</f>
        <v>0</v>
      </c>
    </row>
    <row r="29" spans="1:13" ht="12.75">
      <c r="A29" s="210" t="s">
        <v>255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137">
        <v>5569572</v>
      </c>
      <c r="K29" s="137">
        <f>J29-4636708</f>
        <v>932864</v>
      </c>
      <c r="L29" s="137">
        <v>6687772</v>
      </c>
      <c r="M29" s="137">
        <f>L29-5030727</f>
        <v>1657045</v>
      </c>
    </row>
    <row r="30" spans="1:13" ht="12.75">
      <c r="A30" s="210" t="s">
        <v>265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137">
        <v>0</v>
      </c>
      <c r="K30" s="137">
        <f>J30</f>
        <v>0</v>
      </c>
      <c r="L30" s="137">
        <v>21650</v>
      </c>
      <c r="M30" s="137">
        <f>L30-0</f>
        <v>21650</v>
      </c>
    </row>
    <row r="31" spans="1:13" ht="12.75">
      <c r="A31" s="210" t="s">
        <v>256</v>
      </c>
      <c r="B31" s="211"/>
      <c r="C31" s="211"/>
      <c r="D31" s="211"/>
      <c r="E31" s="211"/>
      <c r="F31" s="211"/>
      <c r="G31" s="211"/>
      <c r="H31" s="212"/>
      <c r="I31" s="1">
        <v>135</v>
      </c>
      <c r="J31" s="137">
        <v>0</v>
      </c>
      <c r="K31" s="137">
        <f>J31</f>
        <v>0</v>
      </c>
      <c r="L31" s="137">
        <v>0</v>
      </c>
      <c r="M31" s="137">
        <v>0</v>
      </c>
    </row>
    <row r="32" spans="1:13" ht="12.75">
      <c r="A32" s="210" t="s">
        <v>257</v>
      </c>
      <c r="B32" s="211"/>
      <c r="C32" s="211"/>
      <c r="D32" s="211"/>
      <c r="E32" s="211"/>
      <c r="F32" s="211"/>
      <c r="G32" s="211"/>
      <c r="H32" s="212"/>
      <c r="I32" s="1">
        <v>136</v>
      </c>
      <c r="J32" s="137">
        <v>715460</v>
      </c>
      <c r="K32" s="137">
        <f>J32</f>
        <v>715460</v>
      </c>
      <c r="L32" s="137">
        <v>82778</v>
      </c>
      <c r="M32" s="137">
        <f>L32-0</f>
        <v>82778</v>
      </c>
    </row>
    <row r="33" spans="1:13" ht="12.75">
      <c r="A33" s="210" t="s">
        <v>258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16">
        <f>SUM(J34:J37)</f>
        <v>9316748</v>
      </c>
      <c r="K33" s="116">
        <f>SUM(K34:K37)</f>
        <v>4703095</v>
      </c>
      <c r="L33" s="142">
        <f>SUM(L34:L37)</f>
        <v>7842570</v>
      </c>
      <c r="M33" s="142">
        <f>SUM(M34:M37)</f>
        <v>4132877</v>
      </c>
    </row>
    <row r="34" spans="1:13" ht="12.75">
      <c r="A34" s="210" t="s">
        <v>260</v>
      </c>
      <c r="B34" s="211"/>
      <c r="C34" s="211"/>
      <c r="D34" s="211"/>
      <c r="E34" s="211"/>
      <c r="F34" s="211"/>
      <c r="G34" s="211"/>
      <c r="H34" s="212"/>
      <c r="I34" s="1">
        <v>138</v>
      </c>
      <c r="J34" s="137">
        <v>0</v>
      </c>
      <c r="K34" s="137">
        <f>J34</f>
        <v>0</v>
      </c>
      <c r="L34" s="137">
        <v>0</v>
      </c>
      <c r="M34" s="137">
        <f>L34</f>
        <v>0</v>
      </c>
    </row>
    <row r="35" spans="1:13" ht="12.75">
      <c r="A35" s="210" t="s">
        <v>259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137">
        <v>7900232</v>
      </c>
      <c r="K35" s="137">
        <f>J35-4613653</f>
        <v>3286579</v>
      </c>
      <c r="L35" s="137">
        <v>6929881</v>
      </c>
      <c r="M35" s="137">
        <f>L35-3317166</f>
        <v>3612715</v>
      </c>
    </row>
    <row r="36" spans="1:13" ht="12.75">
      <c r="A36" s="210" t="s">
        <v>261</v>
      </c>
      <c r="B36" s="211"/>
      <c r="C36" s="211"/>
      <c r="D36" s="211"/>
      <c r="E36" s="211"/>
      <c r="F36" s="211"/>
      <c r="G36" s="211"/>
      <c r="H36" s="212"/>
      <c r="I36" s="1">
        <v>140</v>
      </c>
      <c r="J36" s="137">
        <v>0</v>
      </c>
      <c r="K36" s="137">
        <f>J36</f>
        <v>0</v>
      </c>
      <c r="L36" s="137">
        <v>68611</v>
      </c>
      <c r="M36" s="137">
        <f>L36-0</f>
        <v>68611</v>
      </c>
    </row>
    <row r="37" spans="1:13" ht="12.75">
      <c r="A37" s="210" t="s">
        <v>262</v>
      </c>
      <c r="B37" s="211"/>
      <c r="C37" s="211"/>
      <c r="D37" s="211"/>
      <c r="E37" s="211"/>
      <c r="F37" s="211"/>
      <c r="G37" s="211"/>
      <c r="H37" s="212"/>
      <c r="I37" s="1">
        <v>141</v>
      </c>
      <c r="J37" s="137">
        <v>1416516</v>
      </c>
      <c r="K37" s="137">
        <f>J37</f>
        <v>1416516</v>
      </c>
      <c r="L37" s="137">
        <v>844078</v>
      </c>
      <c r="M37" s="137">
        <f>L37-392527</f>
        <v>451551</v>
      </c>
    </row>
    <row r="38" spans="1:13" ht="12.75">
      <c r="A38" s="210" t="s">
        <v>263</v>
      </c>
      <c r="B38" s="211"/>
      <c r="C38" s="211"/>
      <c r="D38" s="211"/>
      <c r="E38" s="211"/>
      <c r="F38" s="211"/>
      <c r="G38" s="211"/>
      <c r="H38" s="212"/>
      <c r="I38" s="1">
        <v>142</v>
      </c>
      <c r="J38" s="137">
        <v>0</v>
      </c>
      <c r="K38" s="137">
        <f>J38</f>
        <v>0</v>
      </c>
      <c r="L38" s="137">
        <v>0</v>
      </c>
      <c r="M38" s="137">
        <f>L38</f>
        <v>0</v>
      </c>
    </row>
    <row r="39" spans="1:13" ht="12.75">
      <c r="A39" s="210" t="s">
        <v>264</v>
      </c>
      <c r="B39" s="211"/>
      <c r="C39" s="211"/>
      <c r="D39" s="211"/>
      <c r="E39" s="211"/>
      <c r="F39" s="211"/>
      <c r="G39" s="211"/>
      <c r="H39" s="212"/>
      <c r="I39" s="1">
        <v>143</v>
      </c>
      <c r="J39" s="138">
        <v>11380</v>
      </c>
      <c r="K39" s="138">
        <f>J39-4116</f>
        <v>7264</v>
      </c>
      <c r="L39" s="138">
        <v>113435</v>
      </c>
      <c r="M39" s="138">
        <f>L39-4700</f>
        <v>108735</v>
      </c>
    </row>
    <row r="40" spans="1:13" ht="12.75">
      <c r="A40" s="210" t="s">
        <v>266</v>
      </c>
      <c r="B40" s="211"/>
      <c r="C40" s="211"/>
      <c r="D40" s="211"/>
      <c r="E40" s="211"/>
      <c r="F40" s="211"/>
      <c r="G40" s="211"/>
      <c r="H40" s="212"/>
      <c r="I40" s="1">
        <v>144</v>
      </c>
      <c r="J40" s="137"/>
      <c r="K40" s="137"/>
      <c r="L40" s="137"/>
      <c r="M40" s="137"/>
    </row>
    <row r="41" spans="1:13" ht="12.75">
      <c r="A41" s="210" t="s">
        <v>267</v>
      </c>
      <c r="B41" s="211"/>
      <c r="C41" s="211"/>
      <c r="D41" s="211"/>
      <c r="E41" s="211"/>
      <c r="F41" s="211"/>
      <c r="G41" s="211"/>
      <c r="H41" s="212"/>
      <c r="I41" s="1">
        <v>145</v>
      </c>
      <c r="J41" s="137"/>
      <c r="K41" s="137"/>
      <c r="L41" s="137"/>
      <c r="M41" s="137"/>
    </row>
    <row r="42" spans="1:13" ht="12.75">
      <c r="A42" s="210" t="s">
        <v>268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16">
        <f>J7+J27+J38+J40</f>
        <v>80640067</v>
      </c>
      <c r="K42" s="116">
        <f>K7+K27+K38+K40</f>
        <v>39365131</v>
      </c>
      <c r="L42" s="142">
        <f>L7+L27+L38+L40</f>
        <v>109402833</v>
      </c>
      <c r="M42" s="142">
        <f>M7+M27+M38+M40</f>
        <v>57984156</v>
      </c>
    </row>
    <row r="43" spans="1:13" ht="12.75">
      <c r="A43" s="210" t="s">
        <v>269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16">
        <f>J10+J33+J39+J41</f>
        <v>90311225</v>
      </c>
      <c r="K43" s="116">
        <f>K10+K33+K39+K41</f>
        <v>43844059</v>
      </c>
      <c r="L43" s="142">
        <f>L10+L33+L39+L41</f>
        <v>95927150</v>
      </c>
      <c r="M43" s="142">
        <f>M10+M33+M39+M41</f>
        <v>50455303</v>
      </c>
    </row>
    <row r="44" spans="1:13" ht="12.75">
      <c r="A44" s="210" t="s">
        <v>270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16">
        <f>J42-J43</f>
        <v>-9671158</v>
      </c>
      <c r="K44" s="116">
        <f>K42-K43</f>
        <v>-4478928</v>
      </c>
      <c r="L44" s="142">
        <f>L42-L43</f>
        <v>13475683</v>
      </c>
      <c r="M44" s="142">
        <f>M42-M43</f>
        <v>7528853</v>
      </c>
    </row>
    <row r="45" spans="1:13" ht="12.75">
      <c r="A45" s="230" t="s">
        <v>271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6">
        <f>IF(J42&gt;J43,J42-J43,0)</f>
        <v>0</v>
      </c>
      <c r="K45" s="46">
        <f>IF(K42&gt;K43,K42-K43,0)</f>
        <v>0</v>
      </c>
      <c r="L45" s="140">
        <f>IF(L42&gt;L43,L42-L43,0)</f>
        <v>13475683</v>
      </c>
      <c r="M45" s="140">
        <f>IF(M42&gt;M43,M42-M43,0)</f>
        <v>7528853</v>
      </c>
    </row>
    <row r="46" spans="1:13" ht="12.75">
      <c r="A46" s="230" t="s">
        <v>272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6">
        <v>9671158</v>
      </c>
      <c r="K46" s="46">
        <v>5192230</v>
      </c>
      <c r="L46" s="140">
        <f>IF(L43&gt;L42,L43-L42,0)</f>
        <v>0</v>
      </c>
      <c r="M46" s="140">
        <f>IF(M43&gt;M42,M43-M42,0)</f>
        <v>0</v>
      </c>
    </row>
    <row r="47" spans="1:13" ht="12.75">
      <c r="A47" s="210" t="s">
        <v>273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85403</v>
      </c>
      <c r="K47" s="7">
        <v>67220</v>
      </c>
      <c r="L47" s="137">
        <v>-238314</v>
      </c>
      <c r="M47" s="137">
        <f>L47-(-109680)</f>
        <v>-128634</v>
      </c>
    </row>
    <row r="48" spans="1:13" ht="12.75">
      <c r="A48" s="210" t="s">
        <v>274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6">
        <f>J44-J47</f>
        <v>-9756561</v>
      </c>
      <c r="K48" s="46">
        <f>K44-K47</f>
        <v>-4546148</v>
      </c>
      <c r="L48" s="140">
        <f>L44-L47</f>
        <v>13713997</v>
      </c>
      <c r="M48" s="140">
        <f>M44-M47</f>
        <v>7657487</v>
      </c>
    </row>
    <row r="49" spans="1:13" ht="12.75">
      <c r="A49" s="230" t="s">
        <v>275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6">
        <f>IF(J48&gt;0,J48,0)</f>
        <v>0</v>
      </c>
      <c r="K49" s="46">
        <f>IF(K48&gt;0,K48,0)</f>
        <v>0</v>
      </c>
      <c r="L49" s="140">
        <f>IF(L48&gt;0,L48,0)</f>
        <v>13713997</v>
      </c>
      <c r="M49" s="140">
        <f>IF(M48&gt;0,M48,0)</f>
        <v>7657487</v>
      </c>
    </row>
    <row r="50" spans="1:13" ht="12.75">
      <c r="A50" s="252" t="s">
        <v>276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3">
        <f>IF(J48&lt;0,-J48,0)</f>
        <v>9756561</v>
      </c>
      <c r="K50" s="53">
        <f>IF(K48&lt;0,-K48,0)</f>
        <v>4546148</v>
      </c>
      <c r="L50" s="143">
        <f>IF(L48&lt;0,-L48,0)</f>
        <v>0</v>
      </c>
      <c r="M50" s="143">
        <f>IF(M48&lt;0,-M48,0)</f>
        <v>0</v>
      </c>
    </row>
    <row r="51" spans="1:13" ht="12.75" customHeight="1">
      <c r="A51" s="222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278</v>
      </c>
      <c r="B52" s="227"/>
      <c r="C52" s="227"/>
      <c r="D52" s="227"/>
      <c r="E52" s="227"/>
      <c r="F52" s="227"/>
      <c r="G52" s="227"/>
      <c r="H52" s="227"/>
      <c r="I52" s="47"/>
      <c r="J52" s="47"/>
      <c r="K52" s="47"/>
      <c r="L52" s="47"/>
      <c r="M52" s="54"/>
    </row>
    <row r="53" spans="1:13" ht="12.75" customHeight="1">
      <c r="A53" s="210" t="s">
        <v>279</v>
      </c>
      <c r="B53" s="211"/>
      <c r="C53" s="211"/>
      <c r="D53" s="211"/>
      <c r="E53" s="211"/>
      <c r="F53" s="211"/>
      <c r="G53" s="211"/>
      <c r="H53" s="212"/>
      <c r="I53" s="1">
        <v>155</v>
      </c>
      <c r="J53" s="137">
        <f>-J50-J54</f>
        <v>-9677348</v>
      </c>
      <c r="K53" s="137">
        <f>J53-(-5096776)</f>
        <v>-4580572</v>
      </c>
      <c r="L53" s="137">
        <f>L49-L54</f>
        <v>13410974</v>
      </c>
      <c r="M53" s="137">
        <f>L53-6048898</f>
        <v>7362076</v>
      </c>
    </row>
    <row r="54" spans="1:13" ht="12.75" customHeight="1">
      <c r="A54" s="234" t="s">
        <v>280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139">
        <v>-79213</v>
      </c>
      <c r="K54" s="137">
        <f>J54-(-113637)</f>
        <v>34424</v>
      </c>
      <c r="L54" s="139">
        <v>303023</v>
      </c>
      <c r="M54" s="137">
        <f>L54-7612</f>
        <v>295411</v>
      </c>
    </row>
    <row r="55" spans="1:13" ht="12.75" customHeight="1">
      <c r="A55" s="222" t="s">
        <v>281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282</v>
      </c>
      <c r="B56" s="227"/>
      <c r="C56" s="227"/>
      <c r="D56" s="227"/>
      <c r="E56" s="227"/>
      <c r="F56" s="227"/>
      <c r="G56" s="227"/>
      <c r="H56" s="233"/>
      <c r="I56" s="9">
        <v>157</v>
      </c>
      <c r="J56" s="6">
        <f>J48</f>
        <v>-9756561</v>
      </c>
      <c r="K56" s="6">
        <f>K48</f>
        <v>-4546148</v>
      </c>
      <c r="L56" s="144">
        <f>L48</f>
        <v>13713997</v>
      </c>
      <c r="M56" s="144">
        <f>M48</f>
        <v>7657487</v>
      </c>
    </row>
    <row r="57" spans="1:13" ht="12.75">
      <c r="A57" s="210" t="s">
        <v>341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6">
        <f>SUM(J58:J64)</f>
        <v>49535</v>
      </c>
      <c r="K57" s="46">
        <f>SUM(K58:K64)</f>
        <v>-123</v>
      </c>
      <c r="L57" s="140">
        <f>SUM(L58:L64)</f>
        <v>-90329</v>
      </c>
      <c r="M57" s="140">
        <f>L57-(-68736)</f>
        <v>-21593</v>
      </c>
    </row>
    <row r="58" spans="1:13" ht="12.75">
      <c r="A58" s="210" t="s">
        <v>283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137">
        <v>49535</v>
      </c>
      <c r="K58" s="140">
        <f>J58-49658</f>
        <v>-123</v>
      </c>
      <c r="L58" s="137">
        <v>-90329</v>
      </c>
      <c r="M58" s="140">
        <f>L58-(-68736)</f>
        <v>-21593</v>
      </c>
    </row>
    <row r="59" spans="1:13" ht="12.75">
      <c r="A59" s="210" t="s">
        <v>284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137"/>
      <c r="K59" s="137">
        <f aca="true" t="shared" si="0" ref="K59:K64">J59</f>
        <v>0</v>
      </c>
      <c r="L59" s="137"/>
      <c r="M59" s="137">
        <f aca="true" t="shared" si="1" ref="M59:M64">L59</f>
        <v>0</v>
      </c>
    </row>
    <row r="60" spans="1:13" ht="12.75">
      <c r="A60" s="210" t="s">
        <v>285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137"/>
      <c r="K60" s="137">
        <f t="shared" si="0"/>
        <v>0</v>
      </c>
      <c r="L60" s="137"/>
      <c r="M60" s="137">
        <f t="shared" si="1"/>
        <v>0</v>
      </c>
    </row>
    <row r="61" spans="1:13" ht="12.75">
      <c r="A61" s="210" t="s">
        <v>286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137"/>
      <c r="K61" s="137">
        <f t="shared" si="0"/>
        <v>0</v>
      </c>
      <c r="L61" s="137"/>
      <c r="M61" s="137">
        <f t="shared" si="1"/>
        <v>0</v>
      </c>
    </row>
    <row r="62" spans="1:13" ht="12.75">
      <c r="A62" s="210" t="s">
        <v>342</v>
      </c>
      <c r="B62" s="211"/>
      <c r="C62" s="211"/>
      <c r="D62" s="211"/>
      <c r="E62" s="211"/>
      <c r="F62" s="211"/>
      <c r="G62" s="211"/>
      <c r="H62" s="212"/>
      <c r="I62" s="1">
        <v>163</v>
      </c>
      <c r="J62" s="137"/>
      <c r="K62" s="137">
        <f t="shared" si="0"/>
        <v>0</v>
      </c>
      <c r="L62" s="137"/>
      <c r="M62" s="137">
        <f t="shared" si="1"/>
        <v>0</v>
      </c>
    </row>
    <row r="63" spans="1:13" ht="12.75">
      <c r="A63" s="210" t="s">
        <v>287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137"/>
      <c r="K63" s="137">
        <f t="shared" si="0"/>
        <v>0</v>
      </c>
      <c r="L63" s="137"/>
      <c r="M63" s="137">
        <f t="shared" si="1"/>
        <v>0</v>
      </c>
    </row>
    <row r="64" spans="1:13" ht="12.75">
      <c r="A64" s="210" t="s">
        <v>343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137"/>
      <c r="K64" s="137">
        <f t="shared" si="0"/>
        <v>0</v>
      </c>
      <c r="L64" s="137"/>
      <c r="M64" s="137">
        <f t="shared" si="1"/>
        <v>0</v>
      </c>
    </row>
    <row r="65" spans="1:13" ht="12.75">
      <c r="A65" s="210" t="s">
        <v>288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137">
        <v>9907</v>
      </c>
      <c r="K65" s="137">
        <f>J65-9932</f>
        <v>-25</v>
      </c>
      <c r="L65" s="137">
        <v>16259</v>
      </c>
      <c r="M65" s="137">
        <f>13333-(-12372)</f>
        <v>25705</v>
      </c>
    </row>
    <row r="66" spans="1:13" ht="12.75">
      <c r="A66" s="210" t="s">
        <v>289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6">
        <f>J57-J65</f>
        <v>39628</v>
      </c>
      <c r="K66" s="46">
        <f>J66-39726</f>
        <v>-98</v>
      </c>
      <c r="L66" s="46">
        <f>L57+L65</f>
        <v>-74070</v>
      </c>
      <c r="M66" s="140">
        <f>L66-(-56364)</f>
        <v>-17706</v>
      </c>
    </row>
    <row r="67" spans="1:13" ht="12.75">
      <c r="A67" s="210" t="s">
        <v>290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3">
        <f>J56+J66</f>
        <v>-9716933</v>
      </c>
      <c r="K67" s="53">
        <f>K56+K66</f>
        <v>-4546246</v>
      </c>
      <c r="L67" s="145">
        <f>L56+L66</f>
        <v>13639927</v>
      </c>
      <c r="M67" s="145">
        <f>M56+M66</f>
        <v>7639781</v>
      </c>
    </row>
    <row r="68" spans="1:13" ht="12.75" customHeight="1">
      <c r="A68" s="258" t="s">
        <v>291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292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 customHeight="1">
      <c r="A70" s="210" t="s">
        <v>279</v>
      </c>
      <c r="B70" s="211"/>
      <c r="C70" s="211"/>
      <c r="D70" s="211"/>
      <c r="E70" s="211"/>
      <c r="F70" s="211"/>
      <c r="G70" s="211"/>
      <c r="H70" s="212"/>
      <c r="I70" s="1">
        <v>169</v>
      </c>
      <c r="J70" s="7">
        <f>J67-J71</f>
        <v>-9637720</v>
      </c>
      <c r="K70" s="7">
        <f>K67-K71</f>
        <v>-4580670</v>
      </c>
      <c r="L70" s="137">
        <f>L67-L71</f>
        <v>13336904</v>
      </c>
      <c r="M70" s="137">
        <f>L70-5992534</f>
        <v>7344370</v>
      </c>
    </row>
    <row r="71" spans="1:13" ht="12.75" customHeight="1">
      <c r="A71" s="234" t="s">
        <v>280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>
        <f>J54</f>
        <v>-79213</v>
      </c>
      <c r="K71" s="8">
        <f>K54</f>
        <v>34424</v>
      </c>
      <c r="L71" s="139">
        <f>L54</f>
        <v>303023</v>
      </c>
      <c r="M71" s="137">
        <f>L71-7612</f>
        <v>295411</v>
      </c>
    </row>
  </sheetData>
  <sheetProtection/>
  <mergeCells count="73">
    <mergeCell ref="A64:H64"/>
    <mergeCell ref="A71:H71"/>
    <mergeCell ref="A65:H65"/>
    <mergeCell ref="A66:H66"/>
    <mergeCell ref="A67:H67"/>
    <mergeCell ref="A68:M68"/>
    <mergeCell ref="A69:M69"/>
    <mergeCell ref="A70:H70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41:H41"/>
    <mergeCell ref="A39:H39"/>
    <mergeCell ref="A24:H24"/>
    <mergeCell ref="A22:H22"/>
    <mergeCell ref="A23:H23"/>
    <mergeCell ref="A48:H48"/>
    <mergeCell ref="A32:H32"/>
    <mergeCell ref="A25:H25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20:H20"/>
    <mergeCell ref="A21:H21"/>
    <mergeCell ref="J4:K4"/>
    <mergeCell ref="A9:H9"/>
    <mergeCell ref="A10:H10"/>
    <mergeCell ref="A13:H13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53:J54 M53 L53:L54 L47:M47 J47 K53 J66:K67 J56:J65 M57:M58 K57:K58 L56:L67 M65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54 K54 J48:M50 K11 J7:M10 K47 J12:M46 M59:M64 K59:K6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K18" sqref="K18"/>
    </sheetView>
  </sheetViews>
  <sheetFormatPr defaultColWidth="9.140625" defaultRowHeight="12.75"/>
  <cols>
    <col min="1" max="7" width="9.140625" style="45" customWidth="1"/>
    <col min="8" max="8" width="3.7109375" style="45" customWidth="1"/>
    <col min="9" max="9" width="9.140625" style="45" customWidth="1"/>
    <col min="10" max="10" width="11.14062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64" t="s">
        <v>293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7" t="s">
        <v>340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4">
      <c r="A4" s="266" t="s">
        <v>133</v>
      </c>
      <c r="B4" s="266"/>
      <c r="C4" s="266"/>
      <c r="D4" s="266"/>
      <c r="E4" s="266"/>
      <c r="F4" s="266"/>
      <c r="G4" s="266"/>
      <c r="H4" s="266"/>
      <c r="I4" s="58" t="s">
        <v>135</v>
      </c>
      <c r="J4" s="59" t="s">
        <v>134</v>
      </c>
      <c r="K4" s="59" t="s">
        <v>136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0">
        <v>2</v>
      </c>
      <c r="J5" s="61" t="s">
        <v>55</v>
      </c>
      <c r="K5" s="61" t="s">
        <v>56</v>
      </c>
    </row>
    <row r="6" spans="1:11" ht="12.75">
      <c r="A6" s="222" t="s">
        <v>294</v>
      </c>
      <c r="B6" s="223"/>
      <c r="C6" s="223"/>
      <c r="D6" s="223"/>
      <c r="E6" s="223"/>
      <c r="F6" s="223"/>
      <c r="G6" s="223"/>
      <c r="H6" s="223"/>
      <c r="I6" s="262"/>
      <c r="J6" s="262"/>
      <c r="K6" s="263"/>
    </row>
    <row r="7" spans="1:11" ht="12.75">
      <c r="A7" s="213" t="s">
        <v>295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-9671158</v>
      </c>
      <c r="K7" s="7">
        <v>13475683</v>
      </c>
    </row>
    <row r="8" spans="1:11" ht="12.75">
      <c r="A8" s="213" t="s">
        <v>296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4258914</v>
      </c>
      <c r="K8" s="7">
        <v>4288662</v>
      </c>
    </row>
    <row r="9" spans="1:11" ht="12.75">
      <c r="A9" s="213" t="s">
        <v>297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5027825</v>
      </c>
      <c r="K9" s="7">
        <v>11017194</v>
      </c>
    </row>
    <row r="10" spans="1:11" ht="12.75">
      <c r="A10" s="213" t="s">
        <v>298</v>
      </c>
      <c r="B10" s="214"/>
      <c r="C10" s="214"/>
      <c r="D10" s="214"/>
      <c r="E10" s="214"/>
      <c r="F10" s="214"/>
      <c r="G10" s="214"/>
      <c r="H10" s="214"/>
      <c r="I10" s="1">
        <v>4</v>
      </c>
      <c r="J10" s="7"/>
      <c r="K10" s="7"/>
    </row>
    <row r="11" spans="1:11" ht="12.75">
      <c r="A11" s="213" t="s">
        <v>299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>
        <v>16168</v>
      </c>
    </row>
    <row r="12" spans="1:11" ht="12.75">
      <c r="A12" s="213" t="s">
        <v>300</v>
      </c>
      <c r="B12" s="214"/>
      <c r="C12" s="214"/>
      <c r="D12" s="214"/>
      <c r="E12" s="214"/>
      <c r="F12" s="214"/>
      <c r="G12" s="214"/>
      <c r="H12" s="214"/>
      <c r="I12" s="1">
        <v>6</v>
      </c>
      <c r="J12" s="7"/>
      <c r="K12" s="7"/>
    </row>
    <row r="13" spans="1:11" ht="12.75">
      <c r="A13" s="210" t="s">
        <v>301</v>
      </c>
      <c r="B13" s="211"/>
      <c r="C13" s="211"/>
      <c r="D13" s="211"/>
      <c r="E13" s="211"/>
      <c r="F13" s="211"/>
      <c r="G13" s="211"/>
      <c r="H13" s="211"/>
      <c r="I13" s="1">
        <v>7</v>
      </c>
      <c r="J13" s="116">
        <f>SUM(J7:J12)</f>
        <v>-384419</v>
      </c>
      <c r="K13" s="116">
        <f>SUM(K7:K12)</f>
        <v>28797707</v>
      </c>
    </row>
    <row r="14" spans="1:11" ht="12.75">
      <c r="A14" s="213" t="s">
        <v>302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0</v>
      </c>
      <c r="K14" s="7">
        <v>0</v>
      </c>
    </row>
    <row r="15" spans="1:11" ht="12.75">
      <c r="A15" s="213" t="s">
        <v>303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5165254</v>
      </c>
      <c r="K15" s="7">
        <v>8010495</v>
      </c>
    </row>
    <row r="16" spans="1:11" ht="12.75">
      <c r="A16" s="213" t="s">
        <v>304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485696</v>
      </c>
      <c r="K16" s="7">
        <v>0</v>
      </c>
    </row>
    <row r="17" spans="1:11" ht="12.75">
      <c r="A17" s="213" t="s">
        <v>305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10578588</v>
      </c>
      <c r="K17" s="7">
        <v>14067105</v>
      </c>
    </row>
    <row r="18" spans="1:11" ht="12.75">
      <c r="A18" s="210" t="s">
        <v>306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6">
        <f>SUM(J14:J17)</f>
        <v>16229538</v>
      </c>
      <c r="K18" s="116">
        <f>SUM(K14:K17)</f>
        <v>22077600</v>
      </c>
    </row>
    <row r="19" spans="1:11" ht="12.75">
      <c r="A19" s="210" t="s">
        <v>307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6">
        <f>IF(J13&gt;J18,J13-J18,0)</f>
        <v>0</v>
      </c>
      <c r="K19" s="116">
        <f>K13-K18</f>
        <v>6720107</v>
      </c>
    </row>
    <row r="20" spans="1:11" ht="12.75">
      <c r="A20" s="210" t="s">
        <v>308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6">
        <f>IF(J18&gt;J13,J18-J13,0)</f>
        <v>16613957</v>
      </c>
      <c r="K20" s="116">
        <f>IF(K18&gt;K13,K18-K13,0)</f>
        <v>0</v>
      </c>
    </row>
    <row r="21" spans="1:11" ht="12.75" customHeight="1">
      <c r="A21" s="222" t="s">
        <v>309</v>
      </c>
      <c r="B21" s="223"/>
      <c r="C21" s="223"/>
      <c r="D21" s="223"/>
      <c r="E21" s="223"/>
      <c r="F21" s="223"/>
      <c r="G21" s="223"/>
      <c r="H21" s="223"/>
      <c r="I21" s="262"/>
      <c r="J21" s="262"/>
      <c r="K21" s="263"/>
    </row>
    <row r="22" spans="1:11" ht="12.75">
      <c r="A22" s="213" t="s">
        <v>310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4025</v>
      </c>
      <c r="K22" s="7">
        <v>208445</v>
      </c>
    </row>
    <row r="23" spans="1:11" ht="12.75">
      <c r="A23" s="213" t="s">
        <v>311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1337838</v>
      </c>
      <c r="K23" s="7">
        <v>0</v>
      </c>
    </row>
    <row r="24" spans="1:11" ht="12.75">
      <c r="A24" s="213" t="s">
        <v>312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552140</v>
      </c>
      <c r="K24" s="7">
        <v>150766</v>
      </c>
    </row>
    <row r="25" spans="1:11" ht="12.75">
      <c r="A25" s="213" t="s">
        <v>313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0</v>
      </c>
      <c r="K25" s="7">
        <v>21651</v>
      </c>
    </row>
    <row r="26" spans="1:11" ht="12.75">
      <c r="A26" s="213" t="s">
        <v>314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20888668</v>
      </c>
      <c r="K26" s="7">
        <v>900000</v>
      </c>
    </row>
    <row r="27" spans="1:11" ht="12.75">
      <c r="A27" s="210" t="s">
        <v>344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6">
        <f>SUM(J22:J26)</f>
        <v>22782671</v>
      </c>
      <c r="K27" s="116">
        <f>SUM(K22:K26)</f>
        <v>1280862</v>
      </c>
    </row>
    <row r="28" spans="1:11" ht="12.75">
      <c r="A28" s="213" t="s">
        <v>316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1034517</v>
      </c>
      <c r="K28" s="7">
        <v>1890284</v>
      </c>
    </row>
    <row r="29" spans="1:11" ht="12.75">
      <c r="A29" s="213" t="s">
        <v>317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0</v>
      </c>
      <c r="K29" s="7">
        <v>0</v>
      </c>
    </row>
    <row r="30" spans="1:11" ht="12.75">
      <c r="A30" s="213" t="s">
        <v>318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1770000</v>
      </c>
      <c r="K30" s="7">
        <v>420000</v>
      </c>
    </row>
    <row r="31" spans="1:11" ht="12.75">
      <c r="A31" s="210" t="s">
        <v>347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116">
        <f>SUM(J28:J30)</f>
        <v>2804517</v>
      </c>
      <c r="K31" s="116">
        <f>SUM(K28:K30)</f>
        <v>2310284</v>
      </c>
    </row>
    <row r="32" spans="1:11" ht="12.75">
      <c r="A32" s="210" t="s">
        <v>320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6">
        <f>IF(J27&gt;J31,J27-J31,0)</f>
        <v>19978154</v>
      </c>
      <c r="K32" s="116">
        <f>IF(K27&gt;K31,K27-K31,0)</f>
        <v>0</v>
      </c>
    </row>
    <row r="33" spans="1:11" ht="12.75">
      <c r="A33" s="210" t="s">
        <v>321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6">
        <f>IF(J31&gt;J27,J31-J27,0)</f>
        <v>0</v>
      </c>
      <c r="K33" s="116">
        <f>IF(K31&gt;K27,K31-K27,0)</f>
        <v>1029422</v>
      </c>
    </row>
    <row r="34" spans="1:11" ht="12.75" customHeight="1">
      <c r="A34" s="222" t="s">
        <v>322</v>
      </c>
      <c r="B34" s="223"/>
      <c r="C34" s="223"/>
      <c r="D34" s="223"/>
      <c r="E34" s="223"/>
      <c r="F34" s="223"/>
      <c r="G34" s="223"/>
      <c r="H34" s="223"/>
      <c r="I34" s="262"/>
      <c r="J34" s="262"/>
      <c r="K34" s="263"/>
    </row>
    <row r="35" spans="1:11" ht="12.75">
      <c r="A35" s="213" t="s">
        <v>323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0</v>
      </c>
      <c r="K35" s="7">
        <v>0</v>
      </c>
    </row>
    <row r="36" spans="1:11" ht="12.75">
      <c r="A36" s="213" t="s">
        <v>324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0</v>
      </c>
      <c r="K36" s="7">
        <v>0</v>
      </c>
    </row>
    <row r="37" spans="1:11" ht="12.75">
      <c r="A37" s="213" t="s">
        <v>325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0</v>
      </c>
      <c r="K37" s="7">
        <v>0</v>
      </c>
    </row>
    <row r="38" spans="1:11" ht="12.75">
      <c r="A38" s="210" t="s">
        <v>345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6">
        <f>SUM(J35:J37)</f>
        <v>0</v>
      </c>
      <c r="K38" s="116">
        <f>SUM(K35:K37)</f>
        <v>0</v>
      </c>
    </row>
    <row r="39" spans="1:11" ht="12.75">
      <c r="A39" s="213" t="s">
        <v>327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745084</v>
      </c>
      <c r="K39" s="7">
        <v>437500</v>
      </c>
    </row>
    <row r="40" spans="1:11" ht="12.75">
      <c r="A40" s="213" t="s">
        <v>328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0</v>
      </c>
      <c r="K40" s="7">
        <v>0</v>
      </c>
    </row>
    <row r="41" spans="1:11" ht="12.75">
      <c r="A41" s="213" t="s">
        <v>329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358789</v>
      </c>
      <c r="K41" s="7">
        <v>191509</v>
      </c>
    </row>
    <row r="42" spans="1:11" ht="12.75">
      <c r="A42" s="213" t="s">
        <v>330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0</v>
      </c>
      <c r="K42" s="7">
        <v>1567547</v>
      </c>
    </row>
    <row r="43" spans="1:11" ht="12.75">
      <c r="A43" s="213" t="s">
        <v>331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0</v>
      </c>
      <c r="K43" s="7">
        <v>0</v>
      </c>
    </row>
    <row r="44" spans="1:11" ht="12.75">
      <c r="A44" s="210" t="s">
        <v>346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6">
        <f>SUM(J39:J43)</f>
        <v>1103873</v>
      </c>
      <c r="K44" s="116">
        <f>SUM(K39:K43)</f>
        <v>2196556</v>
      </c>
    </row>
    <row r="45" spans="1:11" ht="12.75">
      <c r="A45" s="210" t="s">
        <v>333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6">
        <f>IF(J38&gt;J44,J38-J44,0)</f>
        <v>0</v>
      </c>
      <c r="K45" s="116">
        <f>IF(K38&gt;K44,K38-K44,0)</f>
        <v>0</v>
      </c>
    </row>
    <row r="46" spans="1:11" ht="12.75">
      <c r="A46" s="210" t="s">
        <v>0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6">
        <f>IF(J44&gt;J38,J44-J38,0)</f>
        <v>1103873</v>
      </c>
      <c r="K46" s="116">
        <f>IF(K44&gt;K38,K44-K38,0)</f>
        <v>2196556</v>
      </c>
    </row>
    <row r="47" spans="1:11" ht="12.75">
      <c r="A47" s="213" t="s">
        <v>2</v>
      </c>
      <c r="B47" s="214"/>
      <c r="C47" s="214"/>
      <c r="D47" s="214"/>
      <c r="E47" s="214"/>
      <c r="F47" s="214"/>
      <c r="G47" s="214"/>
      <c r="H47" s="214"/>
      <c r="I47" s="1">
        <v>39</v>
      </c>
      <c r="J47" s="46">
        <f>IF(J19-J20+J32-J33+J45-J46&gt;0,J19-J20+J32-J33+J45-J46,0)</f>
        <v>2260324</v>
      </c>
      <c r="K47" s="46">
        <f>IF(K19-K20+K32-K33+K45-K46&gt;0,K19-K20+K32-K33+K45-K46,0)</f>
        <v>3494129</v>
      </c>
    </row>
    <row r="48" spans="1:11" ht="12.75">
      <c r="A48" s="213" t="s">
        <v>1</v>
      </c>
      <c r="B48" s="214"/>
      <c r="C48" s="214"/>
      <c r="D48" s="214"/>
      <c r="E48" s="214"/>
      <c r="F48" s="214"/>
      <c r="G48" s="214"/>
      <c r="H48" s="214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13" t="s">
        <v>6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1670412</v>
      </c>
      <c r="K49" s="7">
        <v>4602613</v>
      </c>
    </row>
    <row r="50" spans="1:11" ht="12.75">
      <c r="A50" s="213" t="s">
        <v>3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f>J47</f>
        <v>2260324</v>
      </c>
      <c r="K50" s="7">
        <f>K47</f>
        <v>3494129</v>
      </c>
    </row>
    <row r="51" spans="1:11" ht="12.75" customHeight="1">
      <c r="A51" s="213" t="s">
        <v>4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J48</f>
        <v>0</v>
      </c>
      <c r="K51" s="7">
        <f>K48</f>
        <v>0</v>
      </c>
    </row>
    <row r="52" spans="1:11" ht="12.75" customHeight="1">
      <c r="A52" s="213" t="s">
        <v>5</v>
      </c>
      <c r="B52" s="214"/>
      <c r="C52" s="214"/>
      <c r="D52" s="214"/>
      <c r="E52" s="214"/>
      <c r="F52" s="214"/>
      <c r="G52" s="214"/>
      <c r="H52" s="214"/>
      <c r="I52" s="4">
        <v>44</v>
      </c>
      <c r="J52" s="135">
        <f>J49+J50-J51</f>
        <v>3930736</v>
      </c>
      <c r="K52" s="135">
        <f>K49+K50-K51</f>
        <v>8096742</v>
      </c>
    </row>
  </sheetData>
  <sheetProtection/>
  <mergeCells count="52">
    <mergeCell ref="A12:H12"/>
    <mergeCell ref="A10:H10"/>
    <mergeCell ref="A25:H25"/>
    <mergeCell ref="A27:H27"/>
    <mergeCell ref="A23:H23"/>
    <mergeCell ref="A26:H26"/>
    <mergeCell ref="A1:K1"/>
    <mergeCell ref="A2:K2"/>
    <mergeCell ref="A4:H4"/>
    <mergeCell ref="A6:K6"/>
    <mergeCell ref="A3:K3"/>
    <mergeCell ref="A5:H5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4:K17 J28:K30 J7:K12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64" t="s">
        <v>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71" t="s">
        <v>350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4">
      <c r="A4" s="266" t="s">
        <v>22</v>
      </c>
      <c r="B4" s="266"/>
      <c r="C4" s="266"/>
      <c r="D4" s="266"/>
      <c r="E4" s="266"/>
      <c r="F4" s="266"/>
      <c r="G4" s="266"/>
      <c r="H4" s="266"/>
      <c r="I4" s="58" t="s">
        <v>135</v>
      </c>
      <c r="J4" s="59" t="s">
        <v>134</v>
      </c>
      <c r="K4" s="59" t="s">
        <v>136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4">
        <v>2</v>
      </c>
      <c r="J5" s="65" t="s">
        <v>55</v>
      </c>
      <c r="K5" s="65" t="s">
        <v>56</v>
      </c>
    </row>
    <row r="6" spans="1:11" ht="12.75" customHeight="1">
      <c r="A6" s="222" t="s">
        <v>294</v>
      </c>
      <c r="B6" s="223"/>
      <c r="C6" s="223"/>
      <c r="D6" s="223"/>
      <c r="E6" s="223"/>
      <c r="F6" s="223"/>
      <c r="G6" s="223"/>
      <c r="H6" s="223"/>
      <c r="I6" s="262"/>
      <c r="J6" s="262"/>
      <c r="K6" s="263"/>
    </row>
    <row r="7" spans="1:11" ht="12.75">
      <c r="A7" s="213" t="s">
        <v>11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12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13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14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15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9</v>
      </c>
      <c r="B12" s="211"/>
      <c r="C12" s="211"/>
      <c r="D12" s="211"/>
      <c r="E12" s="211"/>
      <c r="F12" s="211"/>
      <c r="G12" s="211"/>
      <c r="H12" s="211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13" t="s">
        <v>16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17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18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19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20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21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10</v>
      </c>
      <c r="B19" s="211"/>
      <c r="C19" s="211"/>
      <c r="D19" s="211"/>
      <c r="E19" s="211"/>
      <c r="F19" s="211"/>
      <c r="G19" s="211"/>
      <c r="H19" s="211"/>
      <c r="I19" s="1">
        <v>13</v>
      </c>
      <c r="J19" s="56">
        <f>SUM(J13:J18)</f>
        <v>0</v>
      </c>
      <c r="K19" s="46">
        <f>SUM(K13:K18)</f>
        <v>0</v>
      </c>
    </row>
    <row r="20" spans="1:11" ht="12.75" customHeight="1">
      <c r="A20" s="210" t="s">
        <v>307</v>
      </c>
      <c r="B20" s="211"/>
      <c r="C20" s="211"/>
      <c r="D20" s="211"/>
      <c r="E20" s="211"/>
      <c r="F20" s="211"/>
      <c r="G20" s="211"/>
      <c r="H20" s="211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 customHeight="1">
      <c r="A21" s="210" t="s">
        <v>308</v>
      </c>
      <c r="B21" s="211"/>
      <c r="C21" s="211"/>
      <c r="D21" s="211"/>
      <c r="E21" s="211"/>
      <c r="F21" s="211"/>
      <c r="G21" s="211"/>
      <c r="H21" s="211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 customHeight="1">
      <c r="A22" s="222" t="s">
        <v>309</v>
      </c>
      <c r="B22" s="223"/>
      <c r="C22" s="223"/>
      <c r="D22" s="223"/>
      <c r="E22" s="223"/>
      <c r="F22" s="223"/>
      <c r="G22" s="223"/>
      <c r="H22" s="223"/>
      <c r="I22" s="262"/>
      <c r="J22" s="262"/>
      <c r="K22" s="263"/>
    </row>
    <row r="23" spans="1:11" ht="12.75" customHeight="1">
      <c r="A23" s="213" t="s">
        <v>310</v>
      </c>
      <c r="B23" s="214"/>
      <c r="C23" s="214"/>
      <c r="D23" s="214"/>
      <c r="E23" s="214"/>
      <c r="F23" s="214"/>
      <c r="G23" s="214"/>
      <c r="H23" s="214"/>
      <c r="I23" s="1">
        <v>15</v>
      </c>
      <c r="J23" s="5"/>
      <c r="K23" s="7"/>
    </row>
    <row r="24" spans="1:11" ht="12.75" customHeight="1">
      <c r="A24" s="213" t="s">
        <v>311</v>
      </c>
      <c r="B24" s="214"/>
      <c r="C24" s="214"/>
      <c r="D24" s="214"/>
      <c r="E24" s="214"/>
      <c r="F24" s="214"/>
      <c r="G24" s="214"/>
      <c r="H24" s="214"/>
      <c r="I24" s="1">
        <v>16</v>
      </c>
      <c r="J24" s="5"/>
      <c r="K24" s="7"/>
    </row>
    <row r="25" spans="1:11" ht="12.75" customHeight="1">
      <c r="A25" s="213" t="s">
        <v>312</v>
      </c>
      <c r="B25" s="214"/>
      <c r="C25" s="214"/>
      <c r="D25" s="214"/>
      <c r="E25" s="214"/>
      <c r="F25" s="214"/>
      <c r="G25" s="214"/>
      <c r="H25" s="214"/>
      <c r="I25" s="1">
        <v>17</v>
      </c>
      <c r="J25" s="5"/>
      <c r="K25" s="7"/>
    </row>
    <row r="26" spans="1:11" ht="12.75" customHeight="1">
      <c r="A26" s="213" t="s">
        <v>313</v>
      </c>
      <c r="B26" s="214"/>
      <c r="C26" s="214"/>
      <c r="D26" s="214"/>
      <c r="E26" s="214"/>
      <c r="F26" s="214"/>
      <c r="G26" s="214"/>
      <c r="H26" s="214"/>
      <c r="I26" s="1">
        <v>18</v>
      </c>
      <c r="J26" s="5"/>
      <c r="K26" s="7"/>
    </row>
    <row r="27" spans="1:11" ht="12.75" customHeight="1">
      <c r="A27" s="213" t="s">
        <v>314</v>
      </c>
      <c r="B27" s="214"/>
      <c r="C27" s="214"/>
      <c r="D27" s="214"/>
      <c r="E27" s="214"/>
      <c r="F27" s="214"/>
      <c r="G27" s="214"/>
      <c r="H27" s="214"/>
      <c r="I27" s="1">
        <v>19</v>
      </c>
      <c r="J27" s="5"/>
      <c r="K27" s="7"/>
    </row>
    <row r="28" spans="1:11" ht="12.75" customHeight="1">
      <c r="A28" s="210" t="s">
        <v>315</v>
      </c>
      <c r="B28" s="211"/>
      <c r="C28" s="211"/>
      <c r="D28" s="211"/>
      <c r="E28" s="211"/>
      <c r="F28" s="211"/>
      <c r="G28" s="211"/>
      <c r="H28" s="211"/>
      <c r="I28" s="1">
        <v>20</v>
      </c>
      <c r="J28" s="56">
        <f>SUM(J23:J27)</f>
        <v>0</v>
      </c>
      <c r="K28" s="46">
        <f>SUM(K23:K27)</f>
        <v>0</v>
      </c>
    </row>
    <row r="29" spans="1:11" ht="12.75" customHeight="1">
      <c r="A29" s="213" t="s">
        <v>316</v>
      </c>
      <c r="B29" s="214"/>
      <c r="C29" s="214"/>
      <c r="D29" s="214"/>
      <c r="E29" s="214"/>
      <c r="F29" s="214"/>
      <c r="G29" s="214"/>
      <c r="H29" s="214"/>
      <c r="I29" s="1">
        <v>21</v>
      </c>
      <c r="J29" s="5"/>
      <c r="K29" s="7"/>
    </row>
    <row r="30" spans="1:11" ht="12.75" customHeight="1">
      <c r="A30" s="213" t="s">
        <v>317</v>
      </c>
      <c r="B30" s="214"/>
      <c r="C30" s="214"/>
      <c r="D30" s="214"/>
      <c r="E30" s="214"/>
      <c r="F30" s="214"/>
      <c r="G30" s="214"/>
      <c r="H30" s="214"/>
      <c r="I30" s="1">
        <v>22</v>
      </c>
      <c r="J30" s="5"/>
      <c r="K30" s="7"/>
    </row>
    <row r="31" spans="1:11" ht="12.75" customHeight="1">
      <c r="A31" s="213" t="s">
        <v>318</v>
      </c>
      <c r="B31" s="214"/>
      <c r="C31" s="214"/>
      <c r="D31" s="214"/>
      <c r="E31" s="214"/>
      <c r="F31" s="214"/>
      <c r="G31" s="214"/>
      <c r="H31" s="214"/>
      <c r="I31" s="1">
        <v>23</v>
      </c>
      <c r="J31" s="5"/>
      <c r="K31" s="7"/>
    </row>
    <row r="32" spans="1:11" ht="12.75" customHeight="1">
      <c r="A32" s="210" t="s">
        <v>319</v>
      </c>
      <c r="B32" s="211"/>
      <c r="C32" s="211"/>
      <c r="D32" s="211"/>
      <c r="E32" s="211"/>
      <c r="F32" s="211"/>
      <c r="G32" s="211"/>
      <c r="H32" s="211"/>
      <c r="I32" s="1">
        <v>24</v>
      </c>
      <c r="J32" s="56">
        <f>SUM(J29:J31)</f>
        <v>0</v>
      </c>
      <c r="K32" s="46">
        <f>SUM(K29:K31)</f>
        <v>0</v>
      </c>
    </row>
    <row r="33" spans="1:11" ht="12.75" customHeight="1">
      <c r="A33" s="210" t="s">
        <v>320</v>
      </c>
      <c r="B33" s="211"/>
      <c r="C33" s="211"/>
      <c r="D33" s="211"/>
      <c r="E33" s="211"/>
      <c r="F33" s="211"/>
      <c r="G33" s="211"/>
      <c r="H33" s="211"/>
      <c r="I33" s="1">
        <v>25</v>
      </c>
      <c r="J33" s="56">
        <f>IF(J28&gt;J32,J28-J32,0)</f>
        <v>0</v>
      </c>
      <c r="K33" s="46">
        <f>IF(K28&gt;K32,K28-K32,0)</f>
        <v>0</v>
      </c>
    </row>
    <row r="34" spans="1:11" ht="12.75" customHeight="1">
      <c r="A34" s="210" t="s">
        <v>321</v>
      </c>
      <c r="B34" s="211"/>
      <c r="C34" s="211"/>
      <c r="D34" s="211"/>
      <c r="E34" s="211"/>
      <c r="F34" s="211"/>
      <c r="G34" s="211"/>
      <c r="H34" s="211"/>
      <c r="I34" s="1">
        <v>26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22" t="s">
        <v>322</v>
      </c>
      <c r="B35" s="223"/>
      <c r="C35" s="223"/>
      <c r="D35" s="223"/>
      <c r="E35" s="223"/>
      <c r="F35" s="223"/>
      <c r="G35" s="223"/>
      <c r="H35" s="223"/>
      <c r="I35" s="262"/>
      <c r="J35" s="262"/>
      <c r="K35" s="263"/>
    </row>
    <row r="36" spans="1:11" ht="12.75" customHeight="1">
      <c r="A36" s="213" t="s">
        <v>323</v>
      </c>
      <c r="B36" s="214"/>
      <c r="C36" s="214"/>
      <c r="D36" s="214"/>
      <c r="E36" s="214"/>
      <c r="F36" s="214"/>
      <c r="G36" s="214"/>
      <c r="H36" s="214"/>
      <c r="I36" s="1">
        <v>27</v>
      </c>
      <c r="J36" s="5">
        <v>0</v>
      </c>
      <c r="K36" s="7">
        <v>0</v>
      </c>
    </row>
    <row r="37" spans="1:11" ht="12.75" customHeight="1">
      <c r="A37" s="213" t="s">
        <v>324</v>
      </c>
      <c r="B37" s="214"/>
      <c r="C37" s="214"/>
      <c r="D37" s="214"/>
      <c r="E37" s="214"/>
      <c r="F37" s="214"/>
      <c r="G37" s="214"/>
      <c r="H37" s="214"/>
      <c r="I37" s="1">
        <v>28</v>
      </c>
      <c r="J37" s="5"/>
      <c r="K37" s="7"/>
    </row>
    <row r="38" spans="1:11" ht="12.75" customHeight="1">
      <c r="A38" s="213" t="s">
        <v>325</v>
      </c>
      <c r="B38" s="214"/>
      <c r="C38" s="214"/>
      <c r="D38" s="214"/>
      <c r="E38" s="214"/>
      <c r="F38" s="214"/>
      <c r="G38" s="214"/>
      <c r="H38" s="214"/>
      <c r="I38" s="1">
        <v>29</v>
      </c>
      <c r="J38" s="5"/>
      <c r="K38" s="7"/>
    </row>
    <row r="39" spans="1:11" ht="12.75" customHeight="1">
      <c r="A39" s="210" t="s">
        <v>326</v>
      </c>
      <c r="B39" s="211"/>
      <c r="C39" s="211"/>
      <c r="D39" s="211"/>
      <c r="E39" s="211"/>
      <c r="F39" s="211"/>
      <c r="G39" s="211"/>
      <c r="H39" s="211"/>
      <c r="I39" s="1">
        <v>30</v>
      </c>
      <c r="J39" s="56">
        <f>SUM(J36:J38)</f>
        <v>0</v>
      </c>
      <c r="K39" s="46">
        <f>SUM(K36:K38)</f>
        <v>0</v>
      </c>
    </row>
    <row r="40" spans="1:11" ht="12.75" customHeight="1">
      <c r="A40" s="213" t="s">
        <v>327</v>
      </c>
      <c r="B40" s="214"/>
      <c r="C40" s="214"/>
      <c r="D40" s="214"/>
      <c r="E40" s="214"/>
      <c r="F40" s="214"/>
      <c r="G40" s="214"/>
      <c r="H40" s="214"/>
      <c r="I40" s="1">
        <v>31</v>
      </c>
      <c r="J40" s="5"/>
      <c r="K40" s="7"/>
    </row>
    <row r="41" spans="1:11" ht="12.75" customHeight="1">
      <c r="A41" s="213" t="s">
        <v>328</v>
      </c>
      <c r="B41" s="214"/>
      <c r="C41" s="214"/>
      <c r="D41" s="214"/>
      <c r="E41" s="214"/>
      <c r="F41" s="214"/>
      <c r="G41" s="214"/>
      <c r="H41" s="214"/>
      <c r="I41" s="1">
        <v>32</v>
      </c>
      <c r="J41" s="5"/>
      <c r="K41" s="7"/>
    </row>
    <row r="42" spans="1:11" ht="12.75" customHeight="1">
      <c r="A42" s="213" t="s">
        <v>329</v>
      </c>
      <c r="B42" s="214"/>
      <c r="C42" s="214"/>
      <c r="D42" s="214"/>
      <c r="E42" s="214"/>
      <c r="F42" s="214"/>
      <c r="G42" s="214"/>
      <c r="H42" s="214"/>
      <c r="I42" s="1">
        <v>33</v>
      </c>
      <c r="J42" s="5"/>
      <c r="K42" s="7"/>
    </row>
    <row r="43" spans="1:11" ht="12.75" customHeight="1">
      <c r="A43" s="213" t="s">
        <v>330</v>
      </c>
      <c r="B43" s="214"/>
      <c r="C43" s="214"/>
      <c r="D43" s="214"/>
      <c r="E43" s="214"/>
      <c r="F43" s="214"/>
      <c r="G43" s="214"/>
      <c r="H43" s="214"/>
      <c r="I43" s="1">
        <v>34</v>
      </c>
      <c r="J43" s="5"/>
      <c r="K43" s="7"/>
    </row>
    <row r="44" spans="1:11" ht="12.75" customHeight="1">
      <c r="A44" s="213" t="s">
        <v>331</v>
      </c>
      <c r="B44" s="214"/>
      <c r="C44" s="214"/>
      <c r="D44" s="214"/>
      <c r="E44" s="214"/>
      <c r="F44" s="214"/>
      <c r="G44" s="214"/>
      <c r="H44" s="214"/>
      <c r="I44" s="1">
        <v>35</v>
      </c>
      <c r="J44" s="5"/>
      <c r="K44" s="7"/>
    </row>
    <row r="45" spans="1:11" ht="12.75" customHeight="1">
      <c r="A45" s="210" t="s">
        <v>332</v>
      </c>
      <c r="B45" s="211"/>
      <c r="C45" s="211"/>
      <c r="D45" s="211"/>
      <c r="E45" s="211"/>
      <c r="F45" s="211"/>
      <c r="G45" s="211"/>
      <c r="H45" s="211"/>
      <c r="I45" s="1">
        <v>36</v>
      </c>
      <c r="J45" s="56">
        <f>SUM(J40:J44)</f>
        <v>0</v>
      </c>
      <c r="K45" s="46">
        <f>SUM(K40:K44)</f>
        <v>0</v>
      </c>
    </row>
    <row r="46" spans="1:11" ht="12.75" customHeight="1">
      <c r="A46" s="210" t="s">
        <v>333</v>
      </c>
      <c r="B46" s="211"/>
      <c r="C46" s="211"/>
      <c r="D46" s="211"/>
      <c r="E46" s="211"/>
      <c r="F46" s="211"/>
      <c r="G46" s="211"/>
      <c r="H46" s="211"/>
      <c r="I46" s="1">
        <v>37</v>
      </c>
      <c r="J46" s="56">
        <f>IF(J39&gt;J45,J39-J45,0)</f>
        <v>0</v>
      </c>
      <c r="K46" s="46">
        <f>IF(K39&gt;K45,K39-K45,0)</f>
        <v>0</v>
      </c>
    </row>
    <row r="47" spans="1:11" ht="12.75" customHeight="1">
      <c r="A47" s="210" t="s">
        <v>0</v>
      </c>
      <c r="B47" s="211"/>
      <c r="C47" s="211"/>
      <c r="D47" s="211"/>
      <c r="E47" s="211"/>
      <c r="F47" s="211"/>
      <c r="G47" s="211"/>
      <c r="H47" s="211"/>
      <c r="I47" s="1">
        <v>38</v>
      </c>
      <c r="J47" s="56">
        <f>IF(J45&gt;J39,J45-J39,0)</f>
        <v>0</v>
      </c>
      <c r="K47" s="46">
        <f>IF(K45&gt;K39,K45-K39,0)</f>
        <v>0</v>
      </c>
    </row>
    <row r="48" spans="1:11" ht="12.75" customHeight="1">
      <c r="A48" s="213" t="s">
        <v>2</v>
      </c>
      <c r="B48" s="214"/>
      <c r="C48" s="214"/>
      <c r="D48" s="214"/>
      <c r="E48" s="214"/>
      <c r="F48" s="214"/>
      <c r="G48" s="214"/>
      <c r="H48" s="214"/>
      <c r="I48" s="1">
        <v>39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13" t="s">
        <v>1</v>
      </c>
      <c r="B49" s="214"/>
      <c r="C49" s="214"/>
      <c r="D49" s="214"/>
      <c r="E49" s="214"/>
      <c r="F49" s="214"/>
      <c r="G49" s="214"/>
      <c r="H49" s="214"/>
      <c r="I49" s="1">
        <v>40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13" t="s">
        <v>6</v>
      </c>
      <c r="B50" s="214"/>
      <c r="C50" s="214"/>
      <c r="D50" s="214"/>
      <c r="E50" s="214"/>
      <c r="F50" s="214"/>
      <c r="G50" s="214"/>
      <c r="H50" s="214"/>
      <c r="I50" s="1">
        <v>41</v>
      </c>
      <c r="J50" s="5"/>
      <c r="K50" s="7"/>
    </row>
    <row r="51" spans="1:11" ht="12.75" customHeight="1">
      <c r="A51" s="213" t="s">
        <v>4</v>
      </c>
      <c r="B51" s="214"/>
      <c r="C51" s="214"/>
      <c r="D51" s="214"/>
      <c r="E51" s="214"/>
      <c r="F51" s="214"/>
      <c r="G51" s="214"/>
      <c r="H51" s="214"/>
      <c r="I51" s="1">
        <v>42</v>
      </c>
      <c r="J51" s="5">
        <v>0</v>
      </c>
      <c r="K51" s="7">
        <v>0</v>
      </c>
    </row>
    <row r="52" spans="1:11" ht="12.75" customHeight="1">
      <c r="A52" s="213" t="s">
        <v>3</v>
      </c>
      <c r="B52" s="214"/>
      <c r="C52" s="214"/>
      <c r="D52" s="214"/>
      <c r="E52" s="214"/>
      <c r="F52" s="214"/>
      <c r="G52" s="214"/>
      <c r="H52" s="214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3" t="s">
        <v>5</v>
      </c>
      <c r="B53" s="214"/>
      <c r="C53" s="214"/>
      <c r="D53" s="214"/>
      <c r="E53" s="214"/>
      <c r="F53" s="214"/>
      <c r="G53" s="214"/>
      <c r="H53" s="214"/>
      <c r="I53" s="4">
        <v>44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35:K35"/>
    <mergeCell ref="A30:H30"/>
    <mergeCell ref="A31:H31"/>
    <mergeCell ref="A36:H36"/>
    <mergeCell ref="A32:H32"/>
    <mergeCell ref="A33:H33"/>
    <mergeCell ref="A34:H34"/>
    <mergeCell ref="A39:H39"/>
    <mergeCell ref="A40:H40"/>
    <mergeCell ref="A45:H45"/>
    <mergeCell ref="A46:H46"/>
    <mergeCell ref="A44:H44"/>
    <mergeCell ref="A42:H42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8" sqref="G28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87" t="s">
        <v>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7"/>
    </row>
    <row r="2" spans="1:12" ht="15.75">
      <c r="A2" s="37"/>
      <c r="B2" s="66"/>
      <c r="C2" s="289" t="s">
        <v>24</v>
      </c>
      <c r="D2" s="289"/>
      <c r="E2" s="69">
        <v>42736</v>
      </c>
      <c r="F2" s="38" t="s">
        <v>25</v>
      </c>
      <c r="G2" s="290">
        <v>42916</v>
      </c>
      <c r="H2" s="291"/>
      <c r="I2" s="66"/>
      <c r="J2" s="66"/>
      <c r="K2" s="66"/>
      <c r="L2" s="70"/>
    </row>
    <row r="3" spans="1:11" ht="24">
      <c r="A3" s="292" t="s">
        <v>133</v>
      </c>
      <c r="B3" s="292"/>
      <c r="C3" s="292"/>
      <c r="D3" s="292"/>
      <c r="E3" s="292"/>
      <c r="F3" s="292"/>
      <c r="G3" s="292"/>
      <c r="H3" s="292"/>
      <c r="I3" s="71" t="s">
        <v>135</v>
      </c>
      <c r="J3" s="59" t="s">
        <v>26</v>
      </c>
      <c r="K3" s="59" t="s">
        <v>27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3">
        <v>2</v>
      </c>
      <c r="J4" s="72" t="s">
        <v>55</v>
      </c>
      <c r="K4" s="72" t="s">
        <v>56</v>
      </c>
    </row>
    <row r="5" spans="1:11" ht="12.75">
      <c r="A5" s="273" t="s">
        <v>28</v>
      </c>
      <c r="B5" s="274"/>
      <c r="C5" s="274"/>
      <c r="D5" s="274"/>
      <c r="E5" s="274"/>
      <c r="F5" s="274"/>
      <c r="G5" s="274"/>
      <c r="H5" s="274"/>
      <c r="I5" s="39">
        <v>1</v>
      </c>
      <c r="J5" s="6">
        <f>'[1]Bilanca'!J70</f>
        <v>116604710</v>
      </c>
      <c r="K5" s="6">
        <f>'[1]Bilanca'!K70</f>
        <v>116604710</v>
      </c>
    </row>
    <row r="6" spans="1:11" ht="12.75">
      <c r="A6" s="273" t="s">
        <v>29</v>
      </c>
      <c r="B6" s="274"/>
      <c r="C6" s="274"/>
      <c r="D6" s="274"/>
      <c r="E6" s="274"/>
      <c r="F6" s="274"/>
      <c r="G6" s="274"/>
      <c r="H6" s="274"/>
      <c r="I6" s="39">
        <v>2</v>
      </c>
      <c r="J6" s="7">
        <v>0</v>
      </c>
      <c r="K6" s="7">
        <f>'[1]Bilanca'!K71</f>
        <v>0</v>
      </c>
    </row>
    <row r="7" spans="1:11" ht="12.75">
      <c r="A7" s="273" t="s">
        <v>30</v>
      </c>
      <c r="B7" s="274"/>
      <c r="C7" s="274"/>
      <c r="D7" s="274"/>
      <c r="E7" s="274"/>
      <c r="F7" s="274"/>
      <c r="G7" s="274"/>
      <c r="H7" s="274"/>
      <c r="I7" s="39">
        <v>3</v>
      </c>
      <c r="J7" s="7">
        <f>'[1]Bilanca'!J72</f>
        <v>-2479608</v>
      </c>
      <c r="K7" s="7">
        <f>'[1]Bilanca'!K72</f>
        <v>-5583987</v>
      </c>
    </row>
    <row r="8" spans="1:11" ht="12.75">
      <c r="A8" s="273" t="s">
        <v>31</v>
      </c>
      <c r="B8" s="274"/>
      <c r="C8" s="274"/>
      <c r="D8" s="274"/>
      <c r="E8" s="274"/>
      <c r="F8" s="274"/>
      <c r="G8" s="274"/>
      <c r="H8" s="274"/>
      <c r="I8" s="39">
        <v>4</v>
      </c>
      <c r="J8" s="7">
        <f>'[1]Bilanca'!J79</f>
        <v>-228039382</v>
      </c>
      <c r="K8" s="7">
        <f>'[1]Bilanca'!K79</f>
        <v>-282278488</v>
      </c>
    </row>
    <row r="9" spans="1:11" ht="12.75">
      <c r="A9" s="273" t="s">
        <v>32</v>
      </c>
      <c r="B9" s="274"/>
      <c r="C9" s="274"/>
      <c r="D9" s="274"/>
      <c r="E9" s="274"/>
      <c r="F9" s="274"/>
      <c r="G9" s="274"/>
      <c r="H9" s="274"/>
      <c r="I9" s="39">
        <v>5</v>
      </c>
      <c r="J9" s="7">
        <f>'[1]Bilanca'!J82</f>
        <v>-56280307</v>
      </c>
      <c r="K9" s="7">
        <f>'[1]Bilanca'!K82</f>
        <v>13410974</v>
      </c>
    </row>
    <row r="10" spans="1:11" ht="12.75">
      <c r="A10" s="273" t="s">
        <v>33</v>
      </c>
      <c r="B10" s="274"/>
      <c r="C10" s="274"/>
      <c r="D10" s="274"/>
      <c r="E10" s="274"/>
      <c r="F10" s="274"/>
      <c r="G10" s="274"/>
      <c r="H10" s="274"/>
      <c r="I10" s="39">
        <v>6</v>
      </c>
      <c r="J10" s="7">
        <f>'[1]Bilanca'!J78+15136</f>
        <v>147371922</v>
      </c>
      <c r="K10" s="7">
        <f>'[1]Bilanca'!K78+74070</f>
        <v>145578246</v>
      </c>
    </row>
    <row r="11" spans="1:11" ht="12.75">
      <c r="A11" s="273" t="s">
        <v>34</v>
      </c>
      <c r="B11" s="274"/>
      <c r="C11" s="274"/>
      <c r="D11" s="274"/>
      <c r="E11" s="274"/>
      <c r="F11" s="274"/>
      <c r="G11" s="274"/>
      <c r="H11" s="274"/>
      <c r="I11" s="39">
        <v>7</v>
      </c>
      <c r="J11" s="7"/>
      <c r="K11" s="7"/>
    </row>
    <row r="12" spans="1:11" ht="12.75">
      <c r="A12" s="273" t="s">
        <v>35</v>
      </c>
      <c r="B12" s="274"/>
      <c r="C12" s="274"/>
      <c r="D12" s="274"/>
      <c r="E12" s="274"/>
      <c r="F12" s="274"/>
      <c r="G12" s="274"/>
      <c r="H12" s="274"/>
      <c r="I12" s="39">
        <v>8</v>
      </c>
      <c r="J12" s="7"/>
      <c r="K12" s="7"/>
    </row>
    <row r="13" spans="1:11" ht="12.75">
      <c r="A13" s="273" t="s">
        <v>36</v>
      </c>
      <c r="B13" s="274"/>
      <c r="C13" s="274"/>
      <c r="D13" s="274"/>
      <c r="E13" s="274"/>
      <c r="F13" s="274"/>
      <c r="G13" s="274"/>
      <c r="H13" s="274"/>
      <c r="I13" s="39">
        <v>9</v>
      </c>
      <c r="J13" s="7"/>
      <c r="K13" s="7"/>
    </row>
    <row r="14" spans="1:11" ht="12.75">
      <c r="A14" s="275" t="s">
        <v>44</v>
      </c>
      <c r="B14" s="276"/>
      <c r="C14" s="276"/>
      <c r="D14" s="276"/>
      <c r="E14" s="276"/>
      <c r="F14" s="276"/>
      <c r="G14" s="276"/>
      <c r="H14" s="276"/>
      <c r="I14" s="39">
        <v>10</v>
      </c>
      <c r="J14" s="46">
        <f>SUM(J5:J13)</f>
        <v>-22822665</v>
      </c>
      <c r="K14" s="46">
        <f>SUM(K5:K13)</f>
        <v>-12268545</v>
      </c>
    </row>
    <row r="15" spans="1:11" ht="12.75">
      <c r="A15" s="273" t="s">
        <v>37</v>
      </c>
      <c r="B15" s="274"/>
      <c r="C15" s="274"/>
      <c r="D15" s="274"/>
      <c r="E15" s="274"/>
      <c r="F15" s="274"/>
      <c r="G15" s="274"/>
      <c r="H15" s="274"/>
      <c r="I15" s="39">
        <v>11</v>
      </c>
      <c r="J15" s="7">
        <v>-15136</v>
      </c>
      <c r="K15" s="7">
        <v>-74070</v>
      </c>
    </row>
    <row r="16" spans="1:11" ht="12.75">
      <c r="A16" s="273" t="s">
        <v>38</v>
      </c>
      <c r="B16" s="274"/>
      <c r="C16" s="274"/>
      <c r="D16" s="274"/>
      <c r="E16" s="274"/>
      <c r="F16" s="274"/>
      <c r="G16" s="274"/>
      <c r="H16" s="274"/>
      <c r="I16" s="39">
        <v>12</v>
      </c>
      <c r="J16" s="7"/>
      <c r="K16" s="7"/>
    </row>
    <row r="17" spans="1:11" ht="12.75">
      <c r="A17" s="273" t="s">
        <v>39</v>
      </c>
      <c r="B17" s="274"/>
      <c r="C17" s="274"/>
      <c r="D17" s="274"/>
      <c r="E17" s="274"/>
      <c r="F17" s="274"/>
      <c r="G17" s="274"/>
      <c r="H17" s="274"/>
      <c r="I17" s="39">
        <v>13</v>
      </c>
      <c r="J17" s="7"/>
      <c r="K17" s="7"/>
    </row>
    <row r="18" spans="1:11" ht="12.75">
      <c r="A18" s="273" t="s">
        <v>40</v>
      </c>
      <c r="B18" s="274"/>
      <c r="C18" s="274"/>
      <c r="D18" s="274"/>
      <c r="E18" s="274"/>
      <c r="F18" s="274"/>
      <c r="G18" s="274"/>
      <c r="H18" s="274"/>
      <c r="I18" s="39">
        <v>14</v>
      </c>
      <c r="J18" s="7"/>
      <c r="K18" s="7"/>
    </row>
    <row r="19" spans="1:11" ht="12.75">
      <c r="A19" s="273" t="s">
        <v>41</v>
      </c>
      <c r="B19" s="274"/>
      <c r="C19" s="274"/>
      <c r="D19" s="274"/>
      <c r="E19" s="274"/>
      <c r="F19" s="274"/>
      <c r="G19" s="274"/>
      <c r="H19" s="274"/>
      <c r="I19" s="39">
        <v>15</v>
      </c>
      <c r="J19" s="7"/>
      <c r="K19" s="7"/>
    </row>
    <row r="20" spans="1:11" ht="12.75">
      <c r="A20" s="273" t="s">
        <v>42</v>
      </c>
      <c r="B20" s="274"/>
      <c r="C20" s="274"/>
      <c r="D20" s="274"/>
      <c r="E20" s="274"/>
      <c r="F20" s="274"/>
      <c r="G20" s="274"/>
      <c r="H20" s="274"/>
      <c r="I20" s="39">
        <v>16</v>
      </c>
      <c r="J20" s="7"/>
      <c r="K20" s="7"/>
    </row>
    <row r="21" spans="1:11" ht="12.75">
      <c r="A21" s="275" t="s">
        <v>43</v>
      </c>
      <c r="B21" s="276"/>
      <c r="C21" s="276"/>
      <c r="D21" s="276"/>
      <c r="E21" s="276"/>
      <c r="F21" s="276"/>
      <c r="G21" s="276"/>
      <c r="H21" s="276"/>
      <c r="I21" s="39">
        <v>17</v>
      </c>
      <c r="J21" s="53">
        <f>SUM(J15:J20)</f>
        <v>-15136</v>
      </c>
      <c r="K21" s="53">
        <f>SUM(K15:K20)</f>
        <v>-74070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9" t="s">
        <v>45</v>
      </c>
      <c r="B23" s="280"/>
      <c r="C23" s="280"/>
      <c r="D23" s="280"/>
      <c r="E23" s="280"/>
      <c r="F23" s="280"/>
      <c r="G23" s="280"/>
      <c r="H23" s="280"/>
      <c r="I23" s="40">
        <v>18</v>
      </c>
      <c r="J23" s="6">
        <f>J14+J21</f>
        <v>-22837801</v>
      </c>
      <c r="K23" s="6">
        <f>K14+K21</f>
        <v>-12342615</v>
      </c>
    </row>
    <row r="24" spans="1:11" ht="17.25" customHeight="1">
      <c r="A24" s="281" t="s">
        <v>46</v>
      </c>
      <c r="B24" s="282"/>
      <c r="C24" s="282"/>
      <c r="D24" s="282"/>
      <c r="E24" s="282"/>
      <c r="F24" s="282"/>
      <c r="G24" s="282"/>
      <c r="H24" s="282"/>
      <c r="I24" s="41">
        <v>19</v>
      </c>
      <c r="J24" s="53">
        <f>'[1]Bilanca'!J85</f>
        <v>-961619</v>
      </c>
      <c r="K24" s="53">
        <f>'[1]Bilanca'!K85</f>
        <v>-651857</v>
      </c>
    </row>
    <row r="25" spans="1:11" ht="27.75" customHeight="1">
      <c r="A25" s="277" t="s">
        <v>351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8:H8"/>
    <mergeCell ref="A5:H5"/>
    <mergeCell ref="A4:H4"/>
    <mergeCell ref="A6:H6"/>
    <mergeCell ref="A7:H7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4" t="s">
        <v>54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5" t="s">
        <v>57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2017-04-27T08:10:31Z</cp:lastPrinted>
  <dcterms:created xsi:type="dcterms:W3CDTF">2008-10-17T11:51:54Z</dcterms:created>
  <dcterms:modified xsi:type="dcterms:W3CDTF">2017-07-28T07:02:53Z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