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<sst xmlns="http://schemas.openxmlformats.org/spreadsheetml/2006/main" count="3663" uniqueCount="2965">
  <si>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</si>
  <si>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</si>
  <si>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</si>
  <si>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</si>
  <si>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</si>
  <si>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</si>
  <si>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</si>
  <si>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</si>
  <si>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</si>
  <si>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</si>
  <si>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</si>
  <si>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</si>
  <si>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</si>
  <si>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</si>
  <si>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</si>
  <si>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</si>
  <si>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</si>
  <si>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</si>
  <si>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</si>
  <si>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</si>
  <si>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</si>
  <si>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</si>
  <si>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</si>
  <si>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</si>
  <si>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</si>
  <si>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</si>
  <si>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</si>
  <si>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</si>
  <si>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</si>
  <si>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</si>
  <si>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</si>
  <si>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</si>
  <si>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</si>
  <si>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</si>
  <si>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</si>
  <si>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</si>
  <si>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</si>
  <si>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</si>
  <si>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</si>
  <si>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</si>
  <si>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</si>
  <si>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</si>
  <si>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</si>
  <si>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</si>
  <si>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</si>
  <si>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</si>
  <si>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</si>
  <si>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</si>
  <si>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</si>
  <si>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</si>
  <si>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</si>
  <si>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</si>
  <si>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</si>
  <si>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</si>
  <si>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</si>
  <si>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</si>
  <si>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</si>
  <si>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</si>
  <si>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</si>
  <si>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</si>
  <si>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</si>
  <si>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</si>
  <si>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</si>
  <si>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</si>
  <si>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</si>
  <si>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</si>
  <si>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</si>
  <si>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</si>
  <si>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</si>
  <si>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</si>
  <si>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</si>
  <si>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</si>
  <si>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</si>
  <si>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</si>
  <si>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</si>
  <si>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</si>
  <si>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</si>
  <si>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</si>
  <si>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</si>
  <si>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</si>
  <si>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</si>
  <si>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</si>
  <si>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</si>
  <si>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</si>
  <si>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</si>
  <si>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</si>
  <si>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</si>
  <si>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</si>
  <si>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</si>
  <si>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</si>
  <si>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</si>
  <si>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</si>
  <si>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</si>
  <si>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</si>
  <si>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</si>
  <si>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</si>
  <si>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</si>
  <si>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</si>
  <si>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</si>
  <si>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</si>
  <si>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</si>
  <si>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</si>
  <si>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</si>
  <si>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</si>
  <si>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</si>
  <si>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</si>
  <si>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</si>
  <si>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</si>
  <si>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</si>
  <si>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</si>
  <si>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</si>
  <si>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</si>
  <si>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</si>
  <si>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</si>
  <si>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</si>
  <si>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</si>
  <si>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</si>
  <si>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</si>
  <si>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</si>
  <si>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</si>
  <si>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</si>
  <si>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</si>
  <si>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</si>
  <si>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</si>
  <si>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</si>
  <si>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</si>
  <si>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</si>
  <si>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</si>
  <si>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</si>
  <si>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</si>
  <si>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</si>
  <si>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</si>
  <si>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</si>
  <si>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</si>
  <si>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</si>
  <si>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</si>
  <si>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</si>
  <si>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</si>
  <si>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</si>
  <si>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</si>
  <si>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</si>
  <si>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</si>
  <si>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</si>
  <si>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</si>
  <si>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</si>
  <si>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</si>
  <si>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</si>
  <si>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</si>
  <si>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</si>
  <si>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</si>
  <si>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</si>
  <si>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</si>
  <si>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</si>
  <si>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</si>
  <si>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</si>
  <si>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</si>
  <si>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</si>
  <si>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</si>
  <si>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</si>
  <si>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</si>
  <si>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</si>
  <si>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</si>
  <si>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</si>
  <si>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</si>
  <si>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</si>
  <si>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</si>
  <si>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</si>
  <si>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</si>
  <si>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</si>
  <si>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</si>
  <si>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</si>
  <si>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</si>
  <si>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</si>
  <si>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</si>
  <si>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</si>
  <si>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</si>
  <si>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</si>
  <si>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</si>
  <si>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</si>
  <si>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</si>
  <si>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</si>
  <si>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</si>
  <si>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</si>
  <si>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</si>
  <si>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</si>
  <si>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</si>
  <si>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</si>
  <si>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</si>
  <si>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</si>
  <si>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</si>
  <si>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</si>
  <si>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</si>
  <si>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</si>
  <si>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</si>
  <si>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</si>
  <si>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</si>
  <si>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</si>
  <si>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</si>
  <si>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</si>
  <si>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</si>
  <si>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</si>
  <si>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</si>
  <si>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</si>
  <si>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</si>
  <si>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</si>
  <si>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</si>
  <si>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</si>
  <si>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</si>
  <si>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</si>
  <si>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</si>
  <si>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</si>
  <si>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</si>
  <si>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</si>
  <si>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</si>
  <si>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</si>
  <si>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</si>
  <si>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</si>
  <si>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</si>
  <si>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</si>
  <si>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</si>
  <si>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</si>
  <si>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</si>
  <si>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</si>
  <si>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</si>
  <si>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</si>
  <si>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</si>
  <si>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</si>
  <si>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</si>
  <si>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</si>
  <si>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</si>
  <si>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</si>
  <si>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</si>
  <si>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</si>
  <si>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</si>
  <si>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</si>
  <si>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</si>
  <si>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</si>
  <si>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</si>
  <si>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</si>
  <si>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</si>
  <si>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</si>
  <si>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</si>
  <si>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</si>
  <si>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</si>
  <si>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</si>
  <si>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</si>
  <si>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</si>
  <si>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</si>
  <si>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</si>
  <si>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</si>
  <si>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</si>
  <si>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</si>
  <si>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</si>
  <si>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</si>
  <si>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</si>
  <si>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</si>
  <si>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</si>
  <si>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</si>
  <si>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</si>
  <si>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</si>
  <si>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</si>
  <si>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</si>
  <si>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</si>
  <si>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</si>
  <si>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</si>
  <si>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</si>
  <si>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</si>
  <si>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</si>
  <si>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</si>
  <si>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</si>
  <si>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</si>
  <si>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</si>
  <si>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</si>
  <si>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</si>
  <si>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</si>
  <si>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</si>
  <si>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</si>
  <si>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</si>
  <si>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</si>
  <si>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</si>
  <si>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</si>
  <si>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</si>
  <si>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</si>
  <si>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</si>
  <si>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</si>
  <si>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</si>
  <si>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</si>
  <si>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</si>
  <si>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</si>
  <si>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</si>
  <si>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</si>
  <si>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</si>
  <si>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</si>
  <si>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</si>
  <si>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</si>
  <si>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</si>
  <si>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</si>
  <si>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</si>
  <si>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</si>
  <si>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</si>
  <si>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</si>
  <si>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</si>
  <si>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</si>
  <si>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</si>
  <si>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</si>
  <si>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</si>
  <si>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</si>
  <si>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</si>
  <si>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</si>
  <si>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</si>
  <si>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</si>
  <si>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</si>
  <si>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</si>
  <si>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</si>
  <si>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</si>
  <si>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</si>
  <si>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</si>
  <si>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</si>
  <si>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</si>
  <si>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</si>
  <si>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</si>
  <si>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</si>
  <si>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</si>
  <si>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</si>
  <si>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</si>
  <si>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</si>
  <si>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</si>
  <si>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</si>
  <si>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</si>
  <si>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</si>
  <si>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</si>
  <si>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</si>
  <si>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</si>
  <si>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</si>
  <si>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</si>
  <si>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</si>
  <si>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</si>
  <si>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</si>
  <si>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</si>
  <si>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</si>
  <si>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</si>
  <si>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</si>
  <si>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</si>
  <si>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</si>
  <si>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</si>
  <si>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</si>
  <si>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</si>
  <si>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</si>
  <si>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</si>
  <si>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</si>
  <si>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</si>
  <si>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</si>
  <si>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</si>
  <si>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</si>
  <si>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</si>
  <si>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</si>
  <si>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</si>
  <si>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</si>
  <si>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</si>
  <si>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</si>
  <si>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</si>
  <si>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</si>
  <si>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</si>
  <si>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</si>
  <si>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</si>
  <si>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</si>
  <si>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</si>
  <si>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</si>
  <si>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</si>
  <si>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</si>
  <si>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</si>
  <si>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</si>
  <si>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</si>
  <si>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</si>
  <si>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</si>
  <si>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</si>
  <si>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</si>
  <si>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</si>
  <si>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</si>
  <si>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</si>
  <si>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</si>
  <si>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</si>
  <si>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</si>
  <si>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</si>
  <si>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</si>
  <si>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</si>
  <si>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</si>
  <si>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</si>
  <si>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</si>
  <si>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</si>
  <si>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</si>
  <si>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</si>
  <si>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</si>
  <si>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</si>
  <si>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</si>
  <si>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</si>
  <si>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</si>
  <si>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</si>
  <si>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</si>
  <si>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</si>
  <si>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</si>
  <si>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</si>
  <si>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</si>
  <si>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</si>
  <si>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</si>
  <si>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</si>
  <si>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</si>
  <si>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</si>
  <si>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</si>
  <si>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</si>
  <si>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</si>
  <si>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</si>
  <si>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</si>
  <si>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</si>
  <si>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</si>
  <si>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</si>
  <si>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</si>
  <si>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</si>
  <si>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</si>
  <si>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</si>
  <si>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</si>
  <si>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</si>
  <si>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</si>
  <si>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</si>
  <si>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</si>
  <si>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</si>
  <si>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</si>
  <si>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</si>
  <si>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</si>
  <si>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</si>
  <si>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</si>
  <si>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</si>
  <si>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</si>
  <si>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</si>
  <si>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</si>
  <si>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</si>
  <si>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</si>
  <si>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</si>
  <si>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</si>
  <si>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</si>
  <si>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</si>
  <si>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</si>
  <si>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</si>
  <si>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</si>
  <si>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</si>
  <si>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</si>
  <si>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</si>
  <si>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</si>
  <si>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</si>
  <si>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</si>
  <si>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</si>
  <si>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</si>
  <si>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</si>
  <si>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</si>
  <si>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</si>
  <si>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</si>
  <si>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</si>
  <si>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</si>
  <si>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</si>
  <si>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</si>
  <si>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</si>
  <si>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</si>
  <si>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</si>
  <si>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</si>
  <si>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</si>
  <si>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</si>
  <si>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</si>
  <si>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</si>
  <si>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</si>
  <si>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</si>
  <si>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</si>
  <si>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</si>
  <si>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</si>
  <si>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</si>
  <si>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</si>
  <si>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</si>
  <si>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</si>
  <si>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</si>
  <si>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</si>
  <si>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</si>
  <si>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</si>
  <si>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</si>
  <si>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</si>
  <si>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</si>
  <si>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</si>
  <si>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</si>
  <si>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</si>
  <si>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</si>
  <si>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</si>
  <si>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</si>
  <si>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</si>
  <si>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</si>
  <si>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</si>
  <si>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</si>
  <si>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</si>
  <si>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</si>
  <si>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</si>
  <si>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</si>
  <si>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</si>
  <si>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</si>
  <si>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</si>
  <si>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</si>
  <si>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</si>
  <si>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</si>
  <si>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</si>
  <si>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</si>
  <si>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</si>
  <si>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</si>
  <si>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</si>
  <si>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</si>
  <si>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</si>
  <si>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</si>
  <si>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</si>
  <si>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</si>
  <si>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</si>
  <si>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</si>
  <si>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</si>
  <si>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</si>
  <si>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</si>
  <si>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</si>
  <si>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</si>
  <si>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</si>
  <si>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</si>
  <si>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</si>
  <si>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</si>
  <si>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</si>
  <si>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</si>
  <si>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</si>
  <si>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</si>
  <si>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</si>
  <si>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</si>
  <si>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</si>
  <si>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</si>
  <si>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</si>
  <si>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</si>
  <si>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</si>
  <si>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</si>
  <si>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</si>
  <si>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</si>
  <si>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</si>
  <si>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</si>
  <si>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</si>
  <si>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</si>
  <si>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</si>
  <si>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</si>
  <si>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</si>
  <si>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</si>
  <si>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</si>
  <si>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</si>
  <si>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</si>
  <si>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</si>
  <si>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</si>
  <si>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</si>
  <si>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</si>
  <si>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</si>
  <si>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</si>
  <si>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</si>
  <si>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</si>
  <si>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</si>
  <si>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</si>
  <si>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</si>
  <si>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</si>
  <si>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</si>
  <si>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</si>
  <si>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</si>
  <si>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</si>
  <si>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</si>
  <si>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</si>
  <si>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</si>
  <si>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</si>
  <si>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</si>
  <si>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</si>
  <si>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</si>
  <si>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</si>
  <si>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</si>
  <si>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</si>
  <si>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</si>
  <si>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</si>
  <si>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</si>
  <si>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</si>
  <si>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</si>
  <si>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</si>
  <si>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</si>
  <si>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</si>
  <si>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</si>
  <si>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</si>
  <si>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</si>
  <si>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</si>
  <si>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</si>
  <si>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</si>
  <si>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</si>
  <si>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</si>
  <si>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</si>
  <si>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</si>
  <si>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</si>
  <si>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</si>
  <si>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</si>
  <si>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</si>
  <si>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</si>
  <si>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</si>
  <si>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</si>
  <si>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</si>
  <si>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</si>
  <si>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</si>
  <si>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</si>
  <si>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</si>
  <si>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</si>
  <si>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</si>
  <si>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</si>
  <si>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</si>
  <si>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</si>
  <si>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</si>
  <si>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</si>
  <si>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</si>
  <si>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</si>
  <si>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</si>
  <si>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</si>
  <si>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</si>
  <si>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</si>
  <si>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</si>
  <si>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</si>
  <si>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</si>
  <si>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</si>
  <si>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</si>
  <si>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</si>
  <si>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</si>
  <si>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</si>
  <si>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</si>
  <si>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</si>
  <si>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</si>
  <si>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</si>
  <si>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</si>
  <si>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</si>
  <si>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</si>
  <si>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</si>
  <si>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</si>
  <si>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</si>
  <si>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</si>
  <si>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</si>
  <si>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</si>
  <si>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</si>
  <si>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</si>
  <si>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</si>
  <si>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</si>
  <si>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</si>
  <si>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</si>
  <si>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</si>
  <si>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</si>
  <si>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</si>
  <si>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</si>
  <si>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</si>
  <si>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</si>
  <si>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</si>
  <si>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</si>
  <si>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</si>
  <si>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</si>
  <si>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</si>
  <si>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</si>
  <si>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</si>
  <si>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</si>
  <si>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</si>
  <si>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</si>
  <si>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</si>
  <si>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</si>
  <si>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</si>
  <si>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</si>
  <si>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</si>
  <si>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</si>
  <si>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</si>
  <si>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</si>
  <si>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</si>
  <si>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</si>
  <si>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</si>
  <si>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</si>
  <si>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</si>
  <si>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</si>
  <si>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</si>
  <si>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</si>
  <si>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</si>
  <si>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</si>
  <si>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</si>
  <si>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</si>
  <si>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</si>
  <si>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</si>
  <si>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</si>
  <si>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</si>
  <si>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</si>
  <si>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</si>
  <si>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</si>
  <si>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</si>
  <si>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</si>
  <si>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</si>
  <si>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</si>
  <si>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</si>
  <si>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</si>
  <si>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</si>
  <si>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</si>
  <si>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</si>
  <si>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</si>
  <si>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</si>
  <si>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</si>
  <si>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</si>
  <si>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</si>
  <si>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</si>
  <si>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</si>
  <si>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</si>
  <si>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</si>
  <si>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</si>
  <si>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</si>
  <si>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</si>
  <si>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</si>
  <si>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</si>
  <si>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</si>
  <si>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</si>
  <si>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</si>
  <si>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</si>
  <si>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</si>
  <si>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</si>
  <si>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</si>
  <si>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</si>
  <si>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</si>
  <si>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</si>
  <si>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</si>
  <si>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</si>
  <si>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</si>
  <si>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</si>
  <si>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</si>
  <si>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</si>
  <si>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</si>
  <si>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</si>
  <si>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</si>
  <si>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</si>
  <si>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</si>
  <si>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</si>
  <si>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</si>
  <si>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</si>
  <si>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</si>
  <si>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</si>
  <si>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</si>
  <si>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</si>
  <si>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</si>
  <si>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</si>
  <si>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</si>
  <si>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</si>
  <si>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</si>
  <si>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</si>
  <si>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</si>
  <si>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</si>
  <si>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</si>
  <si>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</si>
  <si>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</si>
  <si>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</si>
  <si>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</si>
  <si>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</si>
  <si>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</si>
  <si>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</si>
  <si>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</si>
  <si>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</si>
  <si>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</si>
  <si>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</si>
  <si>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</si>
  <si>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</si>
  <si>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</si>
  <si>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</si>
  <si>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</si>
  <si>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</si>
  <si>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</si>
  <si>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</si>
  <si>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</si>
  <si>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</si>
  <si>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</si>
  <si>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</si>
  <si>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</si>
  <si>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</si>
  <si>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</si>
  <si>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</si>
  <si>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</si>
  <si>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</si>
  <si>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</si>
  <si>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</si>
  <si>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</si>
  <si>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</si>
  <si>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</si>
  <si>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</si>
  <si>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</si>
  <si>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</si>
  <si>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</si>
  <si>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</si>
  <si>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</si>
  <si>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</si>
  <si>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</si>
  <si>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</si>
  <si>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</si>
  <si>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</si>
  <si>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</si>
  <si>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</si>
  <si>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</si>
  <si>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</si>
  <si>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</si>
  <si>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</si>
  <si>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</si>
  <si>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</si>
  <si>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</si>
  <si>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</si>
  <si>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</si>
  <si>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</si>
  <si>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</si>
  <si>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</si>
  <si>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</si>
  <si>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</si>
  <si>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</si>
  <si>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</si>
  <si>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</si>
  <si>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</si>
  <si>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</si>
  <si>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</si>
  <si>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</si>
  <si>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</si>
  <si>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</si>
  <si>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</si>
  <si>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</si>
  <si>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</si>
  <si>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</si>
  <si>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</si>
  <si>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</si>
  <si>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</si>
  <si>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</si>
  <si>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</si>
  <si>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</si>
  <si>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</si>
  <si>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</si>
  <si>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</si>
  <si>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</si>
  <si>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</si>
  <si>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</si>
  <si>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</si>
  <si>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</si>
  <si>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</si>
  <si>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</si>
  <si>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</si>
  <si>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</si>
  <si>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</si>
  <si>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</si>
  <si>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</si>
  <si>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</si>
  <si>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</si>
  <si>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</si>
  <si>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</si>
  <si>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</si>
  <si>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</si>
  <si>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</si>
  <si>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</si>
  <si>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</si>
  <si>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</si>
  <si>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</si>
  <si>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</si>
  <si>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</si>
  <si>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</si>
  <si>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</si>
  <si>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</si>
  <si>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</si>
  <si>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</si>
  <si>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</si>
  <si>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</si>
  <si>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</si>
  <si>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</si>
  <si>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</si>
  <si>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</si>
  <si>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</si>
  <si>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</si>
  <si>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</si>
  <si>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</si>
  <si>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</si>
  <si>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</si>
  <si>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</si>
  <si>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</si>
  <si>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</si>
  <si>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</si>
  <si>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</si>
  <si>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</si>
  <si>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</si>
  <si>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</si>
  <si>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</si>
  <si>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</si>
  <si>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</si>
  <si>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</si>
  <si>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</si>
  <si>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</si>
  <si>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</si>
  <si>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</si>
  <si>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</si>
  <si>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</si>
  <si>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</si>
  <si>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</si>
  <si>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</si>
  <si>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</si>
  <si>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</si>
  <si>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</si>
  <si>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</si>
  <si>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</si>
  <si>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</si>
  <si>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</si>
  <si>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</si>
  <si>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</si>
  <si>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</si>
  <si>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</si>
  <si>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</si>
  <si>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</si>
  <si>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</si>
  <si>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</si>
  <si>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</si>
  <si>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</si>
  <si>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</si>
  <si>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</si>
  <si>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</si>
  <si>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</si>
  <si>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</si>
  <si>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</si>
  <si>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</si>
  <si>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</si>
  <si>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</si>
  <si>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</si>
  <si>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</si>
  <si>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</si>
  <si>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</si>
  <si>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</si>
  <si>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</si>
  <si>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</si>
  <si>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</si>
  <si>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</si>
  <si>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</si>
  <si>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</si>
  <si>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</si>
  <si>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</si>
  <si>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</si>
  <si>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</si>
  <si>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</si>
  <si>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</si>
  <si>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</si>
  <si>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</si>
  <si>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</si>
  <si>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</si>
  <si>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</si>
  <si>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</si>
  <si>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</si>
  <si>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</si>
  <si>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</si>
  <si>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</si>
  <si>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</si>
  <si>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</si>
  <si>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</si>
  <si>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</si>
  <si>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</si>
  <si>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</si>
  <si>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</si>
  <si>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</si>
  <si>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</si>
  <si>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</si>
  <si>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</si>
  <si>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</si>
  <si>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</si>
  <si>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</si>
  <si>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</si>
  <si>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</si>
  <si>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</si>
  <si>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</si>
  <si>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</si>
  <si>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</si>
  <si>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</si>
  <si>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</si>
  <si>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</si>
  <si>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</si>
  <si>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</si>
  <si>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</si>
  <si>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</si>
  <si>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</si>
  <si>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</si>
  <si>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</si>
  <si>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</si>
  <si>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</si>
  <si>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</si>
  <si>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</si>
  <si>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</si>
  <si>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</si>
  <si>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</si>
  <si>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</si>
  <si>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</si>
  <si>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</si>
  <si>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</si>
  <si>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</si>
  <si>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</si>
  <si>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</si>
  <si>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</si>
  <si>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</si>
  <si>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</si>
  <si>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</si>
  <si>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</si>
  <si>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</si>
  <si>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</si>
  <si>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</si>
  <si>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</si>
  <si>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</si>
  <si>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</si>
  <si>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</si>
  <si>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</si>
  <si>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</si>
  <si>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</si>
  <si>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</si>
  <si>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</si>
  <si>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</si>
  <si>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</si>
  <si>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</si>
  <si>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</si>
  <si>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</si>
  <si>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</si>
  <si>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</si>
  <si>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</si>
  <si>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</si>
  <si>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</si>
  <si>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</si>
  <si>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</si>
  <si>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</si>
  <si>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</si>
  <si>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</si>
  <si>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</si>
  <si>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</si>
  <si>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</si>
  <si>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</si>
  <si>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</si>
  <si>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</si>
  <si>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</si>
  <si>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</si>
  <si>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</si>
  <si>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</si>
  <si>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</si>
  <si>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</si>
  <si>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</si>
  <si>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</si>
  <si>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</si>
  <si>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</si>
  <si>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</si>
  <si>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</si>
  <si>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</si>
  <si>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</si>
  <si>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</si>
  <si>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</si>
  <si>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</si>
  <si>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</si>
  <si>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</si>
  <si>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</si>
  <si>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</si>
  <si>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</si>
  <si>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</si>
  <si>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</si>
  <si>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</si>
  <si>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</si>
  <si>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</si>
  <si>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</si>
  <si>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</si>
  <si>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</si>
  <si>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</si>
  <si>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</si>
  <si>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</si>
  <si>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</si>
  <si>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</si>
  <si>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</si>
  <si>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</si>
  <si>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</si>
  <si>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</si>
  <si>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</si>
  <si>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</si>
  <si>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</si>
  <si>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</si>
  <si>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</si>
  <si>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</si>
  <si>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</si>
  <si>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</si>
  <si>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</si>
  <si>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</si>
  <si>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</si>
  <si>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</si>
  <si>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</si>
  <si>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</si>
  <si>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</si>
  <si>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</si>
  <si>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</si>
  <si>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</si>
  <si>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</si>
  <si>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</si>
  <si>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</si>
  <si>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</si>
  <si>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</si>
  <si>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</si>
  <si>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</si>
  <si>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</si>
  <si>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</si>
  <si>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</si>
  <si>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</si>
  <si>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</si>
  <si>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</si>
  <si>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</si>
  <si>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</si>
  <si>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</si>
  <si>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</si>
  <si>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</si>
  <si>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</si>
  <si>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</si>
  <si>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</si>
  <si>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</si>
  <si>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</si>
  <si>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</si>
  <si>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</si>
  <si>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</si>
  <si>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</si>
  <si>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</si>
  <si>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</si>
  <si>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</si>
  <si>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</si>
  <si>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</si>
  <si>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</si>
  <si>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</si>
  <si>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</si>
  <si>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</si>
  <si>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</si>
  <si>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</si>
  <si>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</si>
  <si>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</si>
  <si>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</si>
  <si>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</si>
  <si>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</si>
  <si>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</si>
  <si>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</si>
  <si>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</si>
  <si>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</si>
  <si>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</si>
  <si>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</si>
  <si>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</si>
  <si>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</si>
  <si>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</si>
  <si>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</si>
  <si>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</si>
  <si>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</si>
  <si>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</si>
  <si>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</si>
  <si>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</si>
  <si>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</si>
  <si>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</si>
  <si>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</si>
  <si>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</si>
  <si>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</si>
  <si>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</si>
  <si>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</si>
  <si>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</si>
  <si>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</si>
  <si>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</si>
  <si>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</si>
  <si>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</si>
  <si>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</si>
  <si>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</si>
  <si>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</si>
  <si>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</si>
  <si>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</si>
  <si>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</si>
  <si>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</si>
  <si>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</si>
  <si>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</si>
  <si>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</si>
  <si>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</si>
  <si>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</si>
  <si>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</si>
  <si>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</si>
  <si>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</si>
  <si>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</si>
  <si>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</si>
  <si>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</si>
  <si>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</si>
  <si>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</si>
  <si>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</si>
  <si>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</si>
  <si>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</si>
  <si>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</si>
  <si>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</si>
  <si>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</si>
  <si>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</si>
  <si>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</si>
  <si>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</si>
  <si>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</si>
  <si>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</si>
  <si>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</si>
  <si>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</si>
  <si>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</si>
  <si>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</si>
  <si>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</si>
  <si>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</si>
  <si>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</si>
  <si>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</si>
  <si>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</si>
  <si>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</si>
  <si>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</si>
  <si>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</si>
  <si>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</si>
  <si>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</si>
  <si>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</si>
  <si>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</si>
  <si>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</si>
  <si>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</si>
  <si>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</si>
  <si>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</si>
  <si>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</si>
  <si>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</si>
  <si>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</si>
  <si>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</si>
  <si>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</si>
  <si>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</si>
  <si>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</si>
  <si>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</si>
  <si>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</si>
  <si>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</si>
  <si>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</si>
  <si>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</si>
  <si>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</si>
  <si>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</si>
  <si>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</si>
  <si>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</si>
  <si>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</si>
  <si>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</si>
  <si>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</si>
  <si>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</si>
  <si>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</si>
  <si>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</si>
  <si>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</si>
  <si>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</si>
  <si>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</si>
  <si>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</si>
  <si>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</si>
  <si>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</si>
  <si>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</si>
  <si>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</si>
  <si>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</si>
  <si>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</si>
  <si>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</si>
  <si>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</si>
  <si>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</si>
  <si>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</si>
  <si>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</si>
  <si>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</si>
  <si>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</si>
  <si>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</si>
  <si>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</si>
  <si>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</si>
  <si>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</si>
  <si>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</si>
  <si>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</si>
  <si>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</si>
  <si>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</si>
  <si>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</si>
  <si>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</si>
  <si>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</si>
  <si>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</si>
  <si>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</si>
  <si>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</si>
  <si>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</si>
  <si>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</si>
  <si>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</si>
  <si>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</si>
  <si>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</si>
  <si>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</si>
  <si>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</si>
  <si>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</si>
  <si>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</si>
  <si>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</si>
  <si>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</si>
  <si>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</si>
  <si>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</si>
  <si>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</si>
  <si>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</si>
  <si>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</si>
  <si>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</si>
  <si>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</si>
  <si>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</si>
  <si>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</si>
  <si>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</si>
  <si>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</si>
  <si>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</si>
  <si>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</si>
  <si>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</si>
  <si>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</si>
  <si>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</si>
  <si>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</si>
  <si>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</si>
  <si>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</si>
  <si>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</si>
  <si>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</si>
  <si>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</si>
  <si>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</si>
  <si>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</si>
  <si>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</si>
  <si>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</si>
  <si>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</si>
  <si>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</si>
  <si>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</si>
  <si>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</si>
  <si>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</si>
  <si>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</si>
  <si>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</si>
  <si>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</si>
  <si>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</si>
  <si>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</si>
  <si>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</si>
  <si>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</si>
  <si>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</si>
  <si>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</si>
  <si>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</si>
  <si>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</si>
  <si>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</si>
  <si>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</si>
  <si>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</si>
  <si>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</si>
  <si>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</si>
  <si>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</si>
  <si>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</si>
  <si>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</si>
  <si>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</si>
  <si>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</si>
  <si>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</si>
  <si>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</si>
  <si>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</si>
  <si>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</si>
  <si>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</si>
  <si>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</si>
  <si>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</si>
  <si>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</si>
  <si>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</si>
  <si>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</si>
  <si>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</si>
  <si>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</si>
  <si>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</si>
  <si>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</si>
  <si>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</si>
  <si>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</si>
  <si>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</si>
  <si>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</si>
  <si>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</si>
  <si>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</si>
  <si>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</si>
  <si>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</si>
  <si>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</si>
  <si>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</si>
  <si>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</si>
  <si>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</si>
  <si>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</si>
  <si>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</si>
  <si>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</si>
  <si>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</si>
  <si>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</si>
  <si>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</si>
  <si>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</si>
  <si>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</si>
  <si>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</si>
  <si>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</si>
  <si>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</si>
  <si>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</si>
  <si>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</si>
  <si>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</si>
  <si>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</si>
  <si>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</si>
  <si>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</si>
  <si>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</si>
  <si>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</si>
  <si>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</si>
  <si>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</si>
  <si>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</si>
  <si>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</si>
  <si>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</si>
  <si>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</si>
  <si>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</si>
  <si>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</si>
  <si>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</si>
  <si>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</si>
  <si>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</si>
  <si>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</si>
  <si>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</si>
  <si>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</si>
  <si>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</si>
  <si>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</si>
  <si>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</si>
  <si>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</si>
  <si>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</si>
  <si>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</si>
  <si>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</si>
  <si>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</si>
  <si>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</si>
  <si>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</si>
  <si>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</si>
  <si>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</si>
  <si>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</si>
  <si>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</si>
  <si>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</si>
  <si>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</si>
  <si>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</si>
  <si>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</si>
  <si>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</si>
  <si>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</si>
  <si>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</si>
  <si>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</si>
  <si>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</si>
  <si>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</si>
  <si>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</si>
  <si>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</si>
  <si>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</si>
  <si>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</si>
  <si>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</si>
  <si>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</si>
  <si>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</si>
  <si>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</si>
  <si>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</si>
  <si>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</si>
  <si>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</si>
  <si>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</si>
  <si>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</si>
  <si>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</si>
  <si>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</si>
  <si>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</si>
  <si>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</si>
  <si>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</si>
  <si>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</si>
  <si>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</si>
  <si>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</si>
  <si>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</si>
  <si>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</si>
  <si>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</si>
  <si>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</si>
  <si>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</si>
  <si>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</si>
  <si>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</si>
  <si>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</si>
  <si>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</si>
  <si>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</si>
  <si>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</si>
  <si>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</si>
  <si>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</si>
  <si>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</si>
  <si>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</si>
  <si>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</si>
  <si>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</si>
  <si>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</si>
  <si>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</si>
  <si>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</si>
  <si>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</si>
  <si>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</si>
  <si>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</si>
  <si>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</si>
  <si>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</si>
  <si>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</si>
  <si>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</si>
  <si>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</si>
  <si>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</si>
  <si>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</si>
  <si>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</si>
  <si>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</si>
  <si>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</si>
  <si>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</si>
  <si>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</si>
  <si>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</si>
  <si>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</si>
  <si>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</si>
  <si>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</si>
  <si>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</si>
  <si>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</si>
  <si>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</si>
  <si>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</si>
  <si>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</si>
  <si>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</si>
  <si>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</si>
  <si>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</si>
  <si>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</si>
  <si>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</si>
  <si>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</si>
  <si>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</si>
  <si>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</si>
  <si>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</si>
  <si>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</si>
  <si>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</si>
  <si>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</si>
  <si>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</si>
  <si>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</si>
  <si>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</si>
  <si>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</si>
  <si>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</si>
  <si>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</si>
  <si>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</si>
  <si>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</si>
  <si>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</si>
  <si>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</si>
  <si>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</si>
  <si>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</si>
  <si>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</si>
  <si>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</si>
  <si>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</si>
  <si>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</si>
  <si>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</si>
  <si>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</si>
  <si>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</si>
  <si>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</si>
  <si>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</si>
  <si>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</si>
  <si>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</si>
  <si>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</si>
  <si>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</si>
  <si>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</si>
  <si>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</si>
  <si>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</si>
  <si>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</si>
  <si>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</si>
  <si>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</si>
  <si>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</si>
  <si>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</si>
  <si>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</si>
  <si>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</si>
  <si>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</si>
  <si>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</si>
  <si>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</si>
  <si>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</si>
  <si>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</si>
  <si>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</si>
  <si>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</si>
  <si>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</si>
  <si>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</si>
  <si>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</si>
  <si>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</si>
  <si>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</si>
  <si>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</si>
  <si>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</si>
  <si>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</si>
  <si>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</si>
  <si>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</si>
  <si>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</si>
  <si>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</si>
  <si>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</si>
  <si>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</si>
  <si>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</si>
  <si>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</si>
  <si>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</si>
  <si>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</si>
  <si>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</si>
  <si>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</si>
  <si>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</si>
  <si>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</si>
  <si>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</si>
  <si>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</si>
  <si>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</si>
  <si>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</si>
  <si>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</si>
  <si>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</si>
  <si>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</si>
  <si>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</si>
  <si>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</si>
  <si>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</si>
  <si>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</si>
  <si>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</si>
  <si>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</si>
  <si>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</si>
  <si>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</si>
  <si>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</si>
  <si>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</si>
  <si>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</si>
  <si>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</si>
  <si>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</si>
  <si>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</si>
  <si>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</si>
  <si>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</si>
  <si>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</si>
  <si>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</si>
  <si>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</si>
  <si>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</si>
  <si>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</si>
  <si>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</si>
  <si>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</si>
  <si>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</si>
  <si>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</si>
  <si>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</si>
  <si>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</si>
  <si>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</si>
  <si>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</si>
  <si>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</si>
  <si>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</si>
  <si>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</si>
  <si>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</si>
  <si>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</si>
  <si>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</si>
  <si>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</si>
  <si>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</si>
  <si>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</si>
  <si>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</si>
  <si>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</si>
  <si>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</si>
  <si>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</si>
  <si>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</si>
  <si>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</si>
  <si>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</si>
  <si>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</si>
  <si>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</si>
  <si>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</si>
  <si>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</si>
  <si>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</si>
  <si>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</si>
  <si>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</si>
  <si>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</si>
  <si>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</si>
  <si>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</si>
  <si>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</si>
  <si>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</si>
  <si>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</si>
  <si>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</si>
  <si>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</si>
  <si>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</si>
  <si>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</si>
  <si>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</si>
  <si>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</si>
  <si>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</si>
  <si>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</si>
  <si>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</si>
  <si>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</si>
  <si>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</si>
  <si>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</si>
  <si>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</si>
  <si>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</si>
  <si>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</si>
  <si>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</si>
  <si>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</si>
  <si>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</si>
  <si>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</si>
  <si>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</si>
  <si>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</si>
  <si>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</si>
  <si>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</si>
  <si>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</si>
  <si>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</si>
  <si>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</si>
  <si>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</si>
  <si>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</si>
  <si>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</si>
  <si>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</si>
  <si>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</si>
  <si>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</si>
  <si>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</si>
  <si>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</si>
  <si>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</si>
  <si>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</si>
  <si>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</si>
  <si>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</si>
  <si>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</si>
  <si>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</si>
  <si>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</si>
  <si>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</si>
  <si>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</si>
  <si>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</si>
  <si>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</si>
  <si>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</si>
  <si>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</si>
  <si>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</si>
  <si>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</si>
  <si>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</si>
  <si>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</si>
  <si>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</si>
  <si>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</si>
  <si>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</si>
  <si>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</si>
  <si>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</si>
  <si>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</si>
  <si>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</si>
  <si>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</si>
  <si>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</si>
  <si>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</si>
  <si>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</si>
  <si>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</si>
  <si>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</si>
  <si>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</si>
  <si>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</si>
  <si>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</si>
  <si>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</si>
  <si>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</si>
  <si>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</si>
  <si>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</si>
  <si>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</si>
  <si>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</si>
  <si>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</si>
  <si>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</si>
  <si>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</si>
  <si>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</si>
  <si>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</si>
  <si>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</si>
  <si>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</si>
  <si>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</si>
  <si>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</si>
  <si>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</si>
  <si>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</si>
  <si>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</si>
  <si>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</si>
  <si>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</si>
  <si>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</si>
  <si>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</si>
  <si>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</si>
  <si>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</si>
  <si>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</si>
  <si>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</si>
  <si>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</si>
  <si>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</si>
  <si>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</si>
  <si>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</si>
  <si>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</si>
  <si>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</si>
  <si>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</si>
  <si>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</si>
  <si>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</si>
  <si>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</si>
  <si>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</si>
  <si>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</si>
  <si>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</si>
  <si>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</si>
  <si>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</si>
  <si>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</si>
  <si>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</si>
  <si>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</si>
  <si>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</si>
  <si>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</si>
  <si>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</si>
  <si>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</si>
  <si>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</si>
  <si>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</si>
  <si>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</si>
  <si>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</si>
  <si>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</si>
  <si>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</si>
  <si>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</si>
  <si>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</si>
  <si>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</si>
  <si>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</si>
  <si>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</si>
  <si>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</si>
  <si>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</si>
  <si>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</si>
  <si>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</si>
  <si>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</si>
  <si>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</si>
  <si>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</si>
  <si>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</si>
  <si>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</si>
  <si>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</si>
  <si>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</si>
  <si>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</si>
  <si>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</si>
  <si>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</si>
  <si>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</si>
  <si>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</si>
  <si>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</si>
  <si>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</si>
  <si>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</si>
  <si>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</si>
  <si>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</si>
  <si>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</si>
  <si>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</si>
  <si>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</si>
  <si>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</si>
  <si>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</si>
  <si>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</si>
  <si>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</si>
  <si>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</si>
  <si>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</si>
  <si>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</si>
  <si>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</si>
  <si>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</si>
  <si>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</si>
  <si>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</si>
  <si>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</si>
  <si>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</si>
  <si>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</si>
  <si>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</si>
  <si>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</si>
  <si>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</si>
  <si>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</si>
  <si>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</si>
  <si>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</si>
  <si>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</si>
  <si>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</si>
  <si>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</si>
  <si>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</si>
  <si>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</si>
  <si>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</si>
  <si>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</si>
  <si>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</si>
  <si>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</si>
  <si>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</si>
  <si>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</si>
  <si>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</si>
  <si>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</si>
  <si>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</si>
  <si>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</si>
  <si>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</si>
  <si>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</si>
  <si>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</si>
  <si>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</si>
  <si>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</si>
  <si>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</si>
  <si>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</si>
  <si>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</si>
  <si>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</si>
  <si>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</si>
  <si>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</si>
  <si>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</si>
  <si>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</si>
  <si>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</si>
  <si>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</si>
  <si>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</si>
  <si>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</si>
  <si>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</si>
  <si>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</si>
  <si>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</si>
  <si>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</si>
  <si>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</si>
  <si>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</si>
  <si>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</si>
  <si>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</si>
  <si>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</si>
  <si>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</si>
  <si>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</si>
  <si>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</si>
  <si>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</si>
  <si>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</si>
  <si>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</si>
  <si>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</si>
  <si>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</si>
  <si>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</si>
  <si>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</si>
  <si>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</si>
  <si>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</si>
  <si>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</si>
  <si>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</si>
  <si>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</si>
  <si>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</si>
  <si>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</si>
  <si>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</si>
  <si>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</si>
  <si>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</si>
  <si>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</si>
  <si>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</si>
  <si>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</si>
  <si>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</si>
  <si>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</si>
  <si>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</si>
  <si>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</si>
  <si>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</si>
  <si>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</si>
  <si>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</si>
  <si>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</si>
  <si>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</si>
  <si>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</si>
  <si>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</si>
  <si>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</si>
  <si>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</si>
  <si>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</si>
  <si>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</si>
  <si>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</si>
  <si>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</si>
  <si>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</si>
  <si>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</si>
  <si>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</si>
  <si>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</si>
  <si>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</si>
  <si>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</si>
  <si>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</si>
  <si>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</si>
  <si>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</si>
  <si>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</si>
  <si>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</si>
  <si>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</si>
  <si>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</si>
  <si>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</si>
  <si>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</si>
  <si>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</si>
  <si>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</si>
  <si>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</si>
  <si>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</si>
  <si>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</si>
  <si>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</si>
  <si>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</si>
  <si>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</si>
  <si>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</si>
  <si>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</si>
  <si>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</si>
  <si>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</si>
  <si>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</si>
  <si>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</si>
  <si>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</si>
  <si>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</si>
  <si>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</si>
  <si>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</si>
  <si>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</si>
  <si>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</si>
  <si>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</si>
  <si>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</si>
  <si>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</si>
  <si>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</si>
  <si>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</si>
  <si>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</si>
  <si>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</si>
  <si>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</si>
  <si>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</si>
  <si>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</si>
  <si>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</si>
  <si>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</si>
  <si>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</si>
  <si>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</si>
  <si>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</si>
  <si>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</si>
  <si>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</si>
  <si>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</si>
  <si>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</si>
  <si>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</si>
  <si>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</si>
  <si>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</si>
  <si>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</si>
  <si>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</si>
  <si>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</si>
  <si>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</si>
  <si>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</si>
  <si>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</si>
  <si>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</si>
  <si>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</si>
  <si>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</si>
  <si>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</si>
  <si>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</si>
  <si>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</si>
  <si>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</si>
  <si>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</si>
  <si>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</si>
  <si>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</si>
  <si>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</si>
  <si>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</si>
  <si>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</si>
  <si>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</si>
  <si>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</si>
  <si>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</si>
  <si>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</si>
  <si>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</si>
  <si>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</si>
  <si>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</si>
  <si>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</si>
  <si>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</si>
  <si>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</si>
  <si>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</si>
  <si>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</si>
  <si>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</si>
  <si>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</si>
  <si>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</si>
  <si>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</si>
  <si>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</si>
  <si>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</si>
  <si>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</si>
  <si>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</si>
  <si>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</si>
  <si>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</si>
  <si>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</si>
  <si>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</si>
  <si>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</si>
  <si>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</si>
  <si>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</si>
  <si>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</si>
  <si>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</si>
  <si>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</si>
  <si>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</si>
  <si>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</si>
  <si>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</si>
  <si>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</si>
  <si>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</si>
  <si>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</si>
  <si>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</si>
  <si>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</si>
  <si>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</si>
  <si>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</si>
  <si>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</si>
  <si>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</si>
  <si>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</si>
  <si>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</si>
  <si>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</si>
  <si>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</si>
  <si>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</si>
  <si>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</si>
  <si>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</si>
  <si>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</si>
  <si>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</si>
  <si>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</si>
  <si>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</si>
  <si>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</si>
  <si>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</si>
  <si>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</si>
  <si>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</si>
  <si>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</si>
  <si>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</si>
  <si>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</si>
  <si>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</si>
  <si>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</si>
  <si>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</si>
  <si>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</si>
  <si>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</si>
  <si>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</si>
  <si>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</si>
  <si>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</si>
  <si>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</si>
  <si>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</si>
  <si>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</si>
  <si>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</si>
  <si>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</si>
  <si>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</si>
  <si>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</si>
  <si>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</si>
  <si>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</si>
  <si>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</si>
  <si>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</si>
  <si>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</si>
  <si>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</si>
  <si>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</si>
  <si>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</si>
  <si>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</si>
  <si>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</si>
  <si>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</si>
  <si>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</si>
  <si>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</si>
  <si>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</si>
  <si>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</si>
  <si>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</si>
  <si>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</si>
  <si>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</si>
  <si>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</si>
  <si>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</si>
  <si>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</si>
  <si>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</si>
  <si>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</si>
  <si>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</si>
  <si>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</si>
  <si>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</si>
  <si>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</si>
  <si>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</si>
  <si>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</si>
  <si>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</si>
  <si>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</si>
  <si>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</si>
  <si>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</si>
  <si>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</si>
  <si>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</si>
  <si>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</si>
  <si>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</si>
  <si>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</si>
  <si>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</si>
  <si>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</si>
  <si>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</si>
  <si>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</si>
  <si>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</si>
  <si>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</si>
  <si>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</si>
  <si>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</si>
  <si>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</si>
  <si>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</si>
  <si>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</si>
  <si>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</si>
  <si>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</si>
  <si>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</si>
  <si>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</si>
  <si>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</si>
  <si>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</si>
  <si>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</si>
  <si>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</si>
  <si>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</si>
  <si>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</si>
  <si>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</si>
  <si>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</si>
  <si>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</si>
  <si>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</si>
  <si>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</si>
  <si>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</si>
  <si>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</si>
  <si>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</si>
  <si>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</si>
  <si>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</si>
  <si>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</si>
  <si>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</si>
  <si>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</si>
  <si>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</si>
  <si>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</si>
  <si>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</si>
  <si>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</si>
  <si>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</si>
  <si>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</si>
  <si>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</si>
  <si>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</si>
  <si>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</si>
  <si>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</si>
  <si>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</si>
  <si>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</si>
  <si>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</si>
  <si>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</si>
  <si>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</si>
  <si>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</si>
  <si>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</si>
  <si>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</si>
  <si>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</si>
  <si>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</si>
  <si>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</si>
  <si>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</si>
  <si>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</si>
  <si>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</si>
  <si>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</si>
  <si>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</si>
  <si>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</si>
  <si>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</si>
  <si>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</si>
  <si>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</si>
  <si>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</si>
  <si>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</si>
  <si>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</si>
  <si>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</si>
  <si>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</si>
  <si>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</si>
  <si>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</si>
  <si>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</si>
  <si>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</si>
  <si>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</si>
  <si>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</si>
  <si>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</si>
  <si>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</si>
  <si>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</si>
  <si>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</si>
  <si>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</si>
  <si>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</si>
  <si>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</si>
  <si>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</si>
  <si>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</si>
  <si>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</si>
  <si>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</si>
  <si>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</si>
  <si>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</si>
  <si>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</si>
  <si>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</si>
  <si>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</si>
  <si>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</si>
  <si>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</si>
  <si>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</si>
  <si>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</si>
  <si>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</si>
  <si>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</si>
  <si>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</si>
  <si>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</si>
  <si>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</si>
  <si>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</si>
  <si>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</si>
  <si>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</si>
  <si>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</si>
  <si>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</si>
  <si>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</si>
  <si>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</si>
  <si>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</si>
  <si>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</si>
  <si>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</si>
  <si>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</si>
  <si>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</si>
  <si>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</si>
  <si>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</si>
  <si>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</si>
  <si>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</si>
  <si>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</si>
  <si>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</si>
  <si>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</si>
  <si>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</si>
  <si>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</si>
  <si>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</si>
  <si>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</si>
  <si>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</si>
  <si>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</si>
  <si>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</si>
  <si>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</si>
  <si>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</si>
  <si>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</si>
  <si>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</si>
  <si>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</si>
  <si>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</si>
  <si>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</si>
  <si>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</si>
  <si>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</si>
  <si>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</si>
  <si>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</si>
  <si>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</si>
  <si>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</si>
  <si>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</si>
  <si>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</si>
  <si>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</si>
  <si>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</si>
  <si>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</si>
  <si>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</si>
  <si>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</si>
  <si>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</si>
  <si>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</si>
  <si>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</si>
  <si>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</si>
  <si>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</si>
  <si>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</si>
  <si>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</si>
  <si>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</si>
  <si>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</si>
  <si>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</si>
  <si>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</si>
  <si>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</si>
  <si>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</si>
  <si>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</si>
  <si>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</si>
  <si>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</si>
  <si>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</si>
  <si>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</si>
  <si>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</si>
  <si>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</si>
  <si>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</si>
  <si>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</si>
  <si>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</si>
  <si>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</si>
  <si>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</si>
  <si>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</si>
  <si>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</si>
  <si>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</si>
  <si>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</si>
  <si>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</si>
  <si>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</si>
  <si>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</si>
  <si>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</si>
  <si>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</si>
  <si>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</si>
  <si>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</si>
  <si>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</si>
  <si>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</si>
  <si>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</si>
  <si>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</si>
  <si>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</si>
  <si>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</si>
  <si>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</si>
  <si>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</si>
  <si>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</si>
  <si>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</si>
  <si>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</si>
  <si>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</si>
  <si>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</si>
  <si>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</si>
  <si>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</si>
  <si>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</si>
  <si>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</si>
  <si>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</si>
  <si>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</si>
  <si>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</si>
  <si>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</si>
  <si>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</si>
  <si>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</si>
  <si>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</si>
  <si>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</si>
  <si>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</si>
  <si>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</si>
  <si>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</si>
  <si>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</si>
  <si>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</si>
  <si>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</si>
  <si>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</si>
  <si>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</si>
  <si>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</si>
  <si>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</si>
  <si>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</si>
  <si>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</si>
  <si>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</si>
  <si>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</si>
  <si>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</si>
  <si>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</si>
  <si>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</si>
  <si>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</si>
  <si>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</si>
  <si>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</si>
  <si>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</si>
  <si>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</si>
  <si>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</si>
  <si>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</si>
  <si>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</si>
  <si>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</si>
  <si>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</si>
  <si>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</si>
  <si>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</si>
  <si>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</si>
  <si>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</si>
  <si>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</si>
  <si>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</si>
  <si>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</si>
  <si>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</si>
  <si>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</si>
  <si>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</si>
  <si>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</si>
  <si>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</si>
  <si>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</si>
  <si>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</si>
  <si>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</si>
  <si>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</si>
  <si>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</si>
  <si>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</si>
  <si>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</si>
  <si>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</si>
  <si>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</si>
  <si>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</si>
  <si>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</si>
  <si>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</si>
  <si>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</si>
  <si>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</si>
  <si>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</si>
  <si>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</si>
  <si>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</si>
  <si>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</si>
  <si>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</si>
  <si>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</si>
  <si>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</si>
  <si>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</si>
  <si>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</si>
  <si>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</si>
  <si>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</si>
  <si>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</si>
  <si>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</si>
  <si>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</si>
  <si>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</si>
  <si>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</si>
  <si>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</si>
  <si>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</si>
  <si>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</si>
  <si>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</si>
  <si>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</si>
  <si>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</si>
  <si>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</si>
  <si>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</si>
  <si>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</si>
  <si>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</si>
  <si>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</si>
  <si>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</si>
  <si>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</si>
  <si>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</si>
  <si>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</si>
  <si>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</si>
  <si>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</si>
  <si>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</si>
  <si>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</si>
  <si>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</si>
  <si>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</si>
  <si>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</si>
  <si>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</si>
  <si>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</si>
  <si>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</si>
  <si>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</si>
  <si>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</si>
  <si>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</si>
  <si>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</si>
  <si>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</si>
  <si>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</si>
  <si>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</si>
  <si>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</si>
  <si>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</si>
  <si>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</si>
  <si>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</si>
  <si>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</si>
  <si>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</si>
  <si>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</si>
  <si>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</si>
  <si>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</si>
  <si>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</si>
  <si>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</si>
  <si>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</si>
  <si>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</si>
  <si>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</si>
  <si>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</si>
  <si>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</si>
  <si>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</si>
  <si>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</si>
  <si>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</si>
  <si>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</si>
  <si>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</si>
  <si>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</si>
  <si>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</si>
  <si>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</si>
  <si>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</si>
  <si>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</si>
  <si>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</si>
  <si>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</si>
  <si>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</si>
  <si>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</si>
  <si>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</si>
  <si>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</si>
  <si>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</si>
  <si>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</si>
  <si>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</si>
  <si>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</si>
  <si>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</si>
  <si>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</si>
  <si>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</si>
  <si>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</si>
  <si>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</si>
  <si>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</si>
  <si>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</si>
  <si>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</si>
  <si>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</si>
  <si>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</si>
  <si>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</si>
  <si>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</si>
  <si>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</si>
  <si>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</si>
  <si>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</si>
  <si>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</si>
  <si>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</si>
  <si>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</si>
  <si>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</si>
  <si>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</si>
  <si>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</si>
  <si>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</si>
  <si>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</si>
  <si>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</si>
  <si>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</si>
  <si>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</si>
  <si>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</si>
  <si>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</si>
  <si>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</si>
  <si>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</si>
  <si>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</si>
  <si>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</si>
  <si>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</si>
  <si>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</si>
  <si>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</si>
  <si>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</si>
  <si>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</si>
  <si>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</si>
  <si>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</si>
  <si>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</si>
  <si>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</si>
  <si>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</si>
  <si>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</si>
  <si>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</si>
  <si>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</si>
  <si>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</si>
  <si>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</si>
  <si>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</si>
  <si>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</si>
  <si>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</si>
  <si>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</si>
  <si>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</si>
  <si>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</si>
  <si>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</si>
  <si>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</si>
  <si>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</si>
  <si>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</si>
  <si>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</si>
  <si>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</si>
  <si>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</si>
  <si>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</si>
  <si>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</si>
  <si>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</si>
  <si>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</si>
  <si>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</si>
  <si>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</si>
  <si>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</si>
  <si>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</si>
  <si>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</si>
  <si>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</si>
  <si>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</si>
  <si>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</si>
  <si>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</si>
  <si>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</si>
  <si>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</si>
  <si>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</si>
  <si>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</si>
  <si>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</si>
  <si>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</si>
  <si>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</si>
  <si>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</si>
  <si>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</si>
  <si>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</si>
  <si>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</si>
  <si>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</si>
  <si>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</si>
  <si>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</si>
  <si>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</si>
  <si>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</si>
  <si>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</si>
  <si>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</si>
  <si>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</si>
  <si>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</si>
  <si>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</si>
  <si>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</si>
  <si>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</si>
  <si>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</si>
  <si>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</si>
  <si>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</si>
  <si>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</si>
  <si>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</si>
  <si>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</si>
  <si>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</si>
  <si>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</si>
  <si>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</si>
  <si>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</si>
  <si>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</si>
  <si>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</si>
  <si>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</si>
  <si>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</si>
  <si>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</si>
  <si>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</si>
  <si>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</si>
  <si>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</si>
  <si>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</si>
  <si>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</si>
  <si>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</si>
  <si>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</si>
  <si>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</si>
  <si>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</si>
  <si>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</si>
  <si>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</si>
  <si>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</si>
  <si>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</si>
  <si>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</si>
  <si>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</si>
  <si>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</si>
  <si>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</si>
  <si>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</si>
  <si>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</si>
  <si>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</si>
  <si>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</si>
  <si>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</si>
  <si>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</si>
  <si>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</si>
  <si>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</si>
  <si>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</si>
  <si>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</si>
  <si>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</si>
  <si>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</si>
  <si>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</si>
  <si>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</si>
  <si>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</si>
  <si>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</si>
  <si>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</si>
  <si>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</si>
  <si>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</si>
  <si>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</si>
  <si>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</si>
  <si>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</si>
  <si>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</si>
  <si>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</si>
  <si>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</si>
  <si>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</si>
  <si>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</si>
  <si>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</si>
  <si>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</si>
  <si>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</si>
  <si>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</si>
  <si>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</si>
  <si>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</si>
  <si>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</si>
  <si>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</si>
  <si>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</si>
  <si>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</si>
  <si>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</si>
  <si>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</si>
  <si>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</si>
  <si>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</si>
  <si>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</si>
  <si>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</si>
  <si>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</si>
  <si>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</si>
  <si>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</si>
  <si>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</si>
  <si>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</si>
  <si>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</si>
  <si>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</si>
  <si>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</si>
  <si>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</si>
  <si>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</si>
  <si>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</si>
  <si>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</si>
  <si>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</si>
  <si>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</si>
  <si>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</si>
  <si>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</si>
  <si>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</si>
  <si>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</si>
  <si>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</si>
  <si>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</si>
  <si>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</si>
  <si>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</si>
  <si>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</si>
  <si>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</si>
  <si>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</si>
  <si>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</si>
  <si>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</si>
  <si>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</si>
  <si>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</si>
  <si>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</si>
  <si>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</si>
  <si>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</si>
  <si>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</si>
  <si>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</si>
  <si>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</si>
  <si>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</si>
  <si>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</si>
  <si>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</si>
  <si>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</si>
  <si>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</si>
  <si>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</si>
  <si>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</si>
  <si>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</si>
  <si>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</si>
  <si>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</si>
  <si>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</si>
  <si>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</si>
  <si>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</si>
  <si>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</si>
  <si>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</si>
  <si>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</si>
  <si>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</si>
  <si>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</si>
  <si>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</si>
  <si>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</si>
  <si>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</si>
  <si>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</si>
  <si>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</si>
  <si>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</si>
  <si>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</si>
  <si>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</si>
  <si>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</si>
  <si>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</si>
  <si>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</si>
  <si>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</si>
  <si>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</si>
  <si>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</si>
  <si>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</si>
  <si>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</si>
  <si>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</si>
  <si>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</si>
  <si>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</si>
  <si>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</si>
  <si>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</si>
  <si>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</si>
  <si>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</si>
  <si>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</si>
  <si>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</si>
  <si>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</si>
  <si>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</si>
  <si>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</si>
  <si>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</si>
  <si>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</si>
  <si>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</si>
  <si>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</si>
  <si>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</si>
  <si>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</si>
  <si>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</si>
  <si>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</si>
  <si>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</si>
  <si>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</si>
  <si>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</si>
  <si>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</si>
  <si>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</si>
  <si>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</si>
  <si>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</si>
  <si>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</si>
  <si>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</si>
  <si>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</si>
  <si>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</si>
  <si>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</si>
  <si>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</si>
  <si>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</si>
  <si>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</si>
  <si>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</si>
  <si>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</si>
  <si>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</si>
  <si>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</si>
  <si>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</si>
  <si>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</si>
  <si>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</si>
  <si>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</si>
  <si>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</si>
  <si>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</si>
  <si>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</si>
  <si>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</si>
  <si>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</si>
  <si>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</si>
  <si>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</si>
  <si>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</si>
  <si>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</si>
  <si>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</si>
  <si>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</si>
  <si>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</si>
  <si>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</si>
  <si>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</si>
  <si>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</si>
  <si>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</si>
  <si>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</si>
  <si>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</si>
  <si>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</si>
  <si>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</si>
  <si>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</si>
  <si>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</si>
  <si>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</si>
  <si>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</si>
  <si>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</si>
  <si>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</si>
  <si>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</si>
  <si>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</si>
  <si>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</si>
  <si>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</si>
  <si>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</si>
  <si>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</si>
  <si>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</si>
  <si>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</si>
  <si>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</si>
  <si>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</si>
  <si>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</si>
  <si>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</si>
  <si>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</si>
  <si>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</si>
  <si>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</si>
  <si>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</si>
  <si>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</si>
  <si>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</si>
  <si>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</si>
  <si>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</si>
  <si>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</si>
  <si>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</si>
  <si>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</si>
  <si>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</si>
  <si>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</si>
  <si>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</si>
  <si>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</si>
  <si>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</si>
  <si>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</si>
  <si>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</si>
  <si>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</si>
  <si>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</si>
  <si>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</si>
  <si>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</si>
  <si>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</si>
  <si>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</si>
  <si>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</si>
  <si>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</si>
  <si>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</si>
  <si>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</si>
  <si>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</si>
  <si>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</si>
  <si>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</si>
  <si>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</si>
  <si>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</si>
  <si>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</si>
  <si>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</si>
  <si>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</si>
  <si>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</si>
  <si>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</si>
  <si>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</si>
  <si>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</si>
  <si>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</si>
  <si>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</si>
  <si>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</si>
  <si>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</si>
  <si>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</si>
  <si>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</si>
  <si>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</si>
  <si>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</si>
  <si>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</si>
  <si>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</si>
  <si>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</si>
  <si>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</si>
  <si>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</si>
  <si>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</si>
  <si>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</si>
  <si>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</si>
  <si>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</si>
  <si>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</si>
  <si>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</si>
  <si>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</si>
  <si>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</si>
  <si>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</si>
  <si>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</si>
  <si>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</si>
  <si>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</si>
  <si>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</si>
  <si>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</si>
  <si>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</si>
  <si>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</si>
  <si>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</si>
  <si>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</si>
  <si>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</si>
  <si>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</si>
  <si>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</si>
  <si>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</si>
  <si>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</si>
  <si>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</si>
  <si>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</si>
  <si>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</si>
  <si>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</si>
  <si>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</si>
  <si>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</si>
  <si>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</si>
  <si>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</si>
  <si>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</si>
  <si>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</si>
  <si>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</si>
  <si>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</si>
  <si>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</si>
  <si>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</si>
  <si>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</si>
  <si>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</si>
  <si>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</si>
  <si>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</si>
  <si>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</si>
  <si>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</si>
  <si>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</si>
  <si>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</si>
  <si>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</si>
  <si>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</si>
  <si>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</si>
  <si>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</si>
  <si>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</si>
  <si>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</si>
  <si>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</si>
  <si>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</si>
  <si>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</si>
  <si>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</si>
  <si>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</si>
  <si>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</si>
  <si>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</si>
  <si>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</si>
  <si>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</si>
  <si>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</si>
  <si>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</si>
  <si>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</si>
  <si>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</si>
  <si>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</si>
  <si>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</si>
  <si>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</si>
  <si>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</si>
  <si>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</si>
  <si>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</si>
  <si>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</si>
  <si>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</si>
  <si>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</si>
  <si>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</si>
  <si>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</si>
  <si>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</si>
  <si>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</si>
  <si>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</si>
  <si>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</si>
  <si>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</si>
  <si>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</si>
  <si>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</si>
  <si>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</si>
  <si>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</si>
  <si>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</si>
  <si>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</si>
  <si>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</si>
  <si>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</si>
  <si>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</si>
  <si>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</si>
  <si>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</si>
  <si>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</si>
  <si>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</si>
  <si>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</si>
  <si>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</si>
  <si>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</si>
  <si>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</si>
  <si>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</si>
  <si>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</si>
  <si>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</si>
  <si>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</si>
  <si>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</si>
  <si>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</si>
  <si>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</si>
  <si>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</si>
  <si>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</si>
  <si>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</si>
  <si>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</si>
  <si>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</si>
  <si>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</si>
  <si>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</si>
  <si>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</si>
  <si>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</si>
  <si>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</si>
  <si>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</si>
  <si>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</si>
  <si>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</si>
  <si>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</si>
  <si>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</si>
  <si>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</si>
  <si>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</si>
  <si>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</si>
  <si>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</si>
  <si>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</si>
  <si>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</si>
  <si>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</si>
  <si>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</si>
  <si>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</si>
  <si>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</si>
  <si>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</si>
  <si>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</si>
  <si>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</si>
  <si>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</si>
  <si>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</si>
  <si>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</si>
  <si>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</si>
  <si>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</si>
  <si>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</si>
  <si>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</si>
  <si>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</si>
  <si>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</si>
  <si>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</si>
  <si>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</si>
  <si>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</si>
  <si>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</si>
  <si>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</si>
  <si>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</si>
  <si>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</si>
  <si>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</si>
  <si>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</si>
  <si>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</si>
  <si>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</si>
  <si>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</si>
  <si>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</si>
  <si>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</si>
  <si>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</si>
  <si>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</si>
  <si>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</si>
  <si>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</si>
  <si>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</si>
  <si>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</si>
  <si>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</si>
  <si>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</si>
  <si>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</si>
  <si>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</si>
  <si>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</si>
  <si>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</si>
  <si>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</si>
  <si>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</si>
  <si>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</si>
  <si>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</si>
  <si>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</si>
  <si>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</si>
  <si>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</si>
  <si>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</si>
  <si>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</si>
  <si>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</si>
  <si>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</si>
  <si>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</si>
  <si>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</si>
  <si>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</si>
  <si>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94858559872</t>
  </si>
  <si>
    <t>02077507</t>
  </si>
  <si>
    <t>100006793</t>
  </si>
  <si>
    <t>HOTELI VODICE d.d.</t>
  </si>
  <si>
    <t>VODICE</t>
  </si>
  <si>
    <t>GRGURA NINSKOG 1</t>
  </si>
  <si>
    <t>financije@hotelivodice.hr</t>
  </si>
  <si>
    <t>www.hotelivodice.hr</t>
  </si>
  <si>
    <t>Matija Svirčić</t>
  </si>
  <si>
    <t>0915793245</t>
  </si>
  <si>
    <t>ROBERTA RUDAN</t>
  </si>
  <si>
    <t>71799539000</t>
  </si>
  <si>
    <t>MSFI</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</si>
</sst>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8262434.960000001</v>
      </c>
      <c r="I3" s="31">
        <f>ABS(ROUND(J3,0)-J3)+ABS(ROUND(K3,0)-K3)</f>
        <v>0</v>
      </c>
      <c r="J3" s="31">
        <f>Bilanca!I10</f>
        <v>261988874</v>
      </c>
      <c r="K3" s="31">
        <f>Bilanca!J10</f>
        <v>75566437</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02077507</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2352</v>
      </c>
      <c r="B7" s="29" t="str">
        <f>RefStr!M27</f>
        <v>100006793</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94858559872</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HOTELI VODICE d.d.</v>
      </c>
      <c r="D9" s="4" t="s">
        <v>1521</v>
      </c>
      <c r="E9" s="4">
        <v>1</v>
      </c>
      <c r="F9" s="4">
        <f>Bilanca!G16</f>
        <v>8</v>
      </c>
      <c r="G9" s="4">
        <f>IF(Bilanca!H16=0,"",Bilanca!H16)</f>
      </c>
      <c r="H9" s="30">
        <f t="shared" si="0"/>
        <v>0</v>
      </c>
      <c r="I9" s="31">
        <f t="shared" si="1"/>
        <v>0</v>
      </c>
      <c r="J9" s="31">
        <f>Bilanca!I16</f>
        <v>0</v>
      </c>
      <c r="K9" s="31">
        <f>Bilanca!J16</f>
        <v>0</v>
      </c>
    </row>
    <row r="10" spans="1:11" ht="12.75">
      <c r="A10" s="4" t="s">
        <v>2354</v>
      </c>
      <c r="B10" s="29" t="str">
        <f>TEXT(RefStr!C31,"00000")</f>
        <v>22211</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VODICE</v>
      </c>
      <c r="D11" s="4" t="s">
        <v>1521</v>
      </c>
      <c r="E11" s="4">
        <v>1</v>
      </c>
      <c r="F11" s="4">
        <f>Bilanca!G18</f>
        <v>10</v>
      </c>
      <c r="G11" s="4">
        <f>IF(Bilanca!H18=0,"",Bilanca!H18)</f>
      </c>
      <c r="H11" s="30">
        <f t="shared" si="0"/>
        <v>41306174.800000004</v>
      </c>
      <c r="I11" s="31">
        <f t="shared" si="1"/>
        <v>0</v>
      </c>
      <c r="J11" s="31">
        <f>Bilanca!I18</f>
        <v>261968874</v>
      </c>
      <c r="K11" s="31">
        <f>Bilanca!J18</f>
        <v>75546437</v>
      </c>
    </row>
    <row r="12" spans="1:11" ht="12.75">
      <c r="A12" s="4" t="s">
        <v>2356</v>
      </c>
      <c r="B12" s="29" t="str">
        <f>TRIM(RefStr!C33)</f>
        <v>GRGURA NINSKOG 1</v>
      </c>
      <c r="D12" s="4" t="s">
        <v>1521</v>
      </c>
      <c r="E12" s="4">
        <v>1</v>
      </c>
      <c r="F12" s="4">
        <f>Bilanca!G19</f>
        <v>11</v>
      </c>
      <c r="G12" s="4">
        <f>IF(Bilanca!H19=0,"",Bilanca!H19)</f>
      </c>
      <c r="H12" s="30">
        <f t="shared" si="0"/>
        <v>8248304.0200000005</v>
      </c>
      <c r="I12" s="31">
        <f t="shared" si="1"/>
        <v>0</v>
      </c>
      <c r="J12" s="31">
        <f>Bilanca!I19</f>
        <v>40824742</v>
      </c>
      <c r="K12" s="31">
        <f>Bilanca!J19</f>
        <v>17079920</v>
      </c>
    </row>
    <row r="13" spans="1:11" ht="12.75">
      <c r="A13" s="4" t="s">
        <v>1193</v>
      </c>
      <c r="B13" s="29" t="str">
        <f>TRIM(RefStr!C35)</f>
        <v>financije@hotelivodice.hr</v>
      </c>
      <c r="D13" s="4" t="s">
        <v>1521</v>
      </c>
      <c r="E13" s="4">
        <v>1</v>
      </c>
      <c r="F13" s="4">
        <f>Bilanca!G20</f>
        <v>12</v>
      </c>
      <c r="G13" s="4">
        <f>IF(Bilanca!H20=0,"",Bilanca!H20)</f>
      </c>
      <c r="H13" s="30">
        <f t="shared" si="0"/>
        <v>39873382.08</v>
      </c>
      <c r="I13" s="31">
        <f t="shared" si="1"/>
        <v>0</v>
      </c>
      <c r="J13" s="31">
        <f>Bilanca!I20</f>
        <v>219497422</v>
      </c>
      <c r="K13" s="31">
        <f>Bilanca!J20</f>
        <v>56390381</v>
      </c>
    </row>
    <row r="14" spans="1:11" ht="12.75">
      <c r="A14" s="4" t="s">
        <v>1194</v>
      </c>
      <c r="B14" s="29" t="str">
        <f>TRIM(RefStr!C37)</f>
        <v>www.hotelivodice.hr</v>
      </c>
      <c r="D14" s="4" t="s">
        <v>1521</v>
      </c>
      <c r="E14" s="4">
        <v>1</v>
      </c>
      <c r="F14" s="4">
        <f>Bilanca!G21</f>
        <v>13</v>
      </c>
      <c r="G14" s="4">
        <f>IF(Bilanca!H21=0,"",Bilanca!H21)</f>
      </c>
      <c r="H14" s="30">
        <f t="shared" si="0"/>
        <v>509280.72000000003</v>
      </c>
      <c r="I14" s="31">
        <f t="shared" si="1"/>
        <v>0</v>
      </c>
      <c r="J14" s="31">
        <f>Bilanca!I21</f>
        <v>602226</v>
      </c>
      <c r="K14" s="31">
        <f>Bilanca!J21</f>
        <v>1657659</v>
      </c>
    </row>
    <row r="15" spans="1:11" ht="12.75">
      <c r="A15" s="4" t="s">
        <v>2359</v>
      </c>
      <c r="B15" s="29" t="str">
        <f>TEXT(RefStr!J39,"00")</f>
        <v>15</v>
      </c>
      <c r="D15" s="4" t="s">
        <v>1521</v>
      </c>
      <c r="E15" s="4">
        <v>1</v>
      </c>
      <c r="F15" s="4">
        <f>Bilanca!G22</f>
        <v>14</v>
      </c>
      <c r="G15" s="4">
        <f>IF(Bilanca!H22=0,"",Bilanca!H22)</f>
      </c>
      <c r="H15" s="30">
        <f t="shared" si="0"/>
        <v>149210.88</v>
      </c>
      <c r="I15" s="31">
        <f t="shared" si="1"/>
        <v>0</v>
      </c>
      <c r="J15" s="31">
        <f>Bilanca!I22</f>
        <v>572602</v>
      </c>
      <c r="K15" s="31">
        <f>Bilanca!J22</f>
        <v>246595</v>
      </c>
    </row>
    <row r="16" spans="1:11" ht="12.75">
      <c r="A16" s="4" t="s">
        <v>2358</v>
      </c>
      <c r="B16" s="29" t="str">
        <f>TEXT(RefStr!C39,"000")</f>
        <v>500</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5510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51000</v>
      </c>
      <c r="I18" s="31">
        <f t="shared" si="1"/>
        <v>0</v>
      </c>
      <c r="J18" s="31">
        <f>Bilanca!I25</f>
        <v>300000</v>
      </c>
      <c r="K18" s="31">
        <f>Bilanca!J25</f>
        <v>0</v>
      </c>
    </row>
    <row r="19" spans="1:11" ht="12.75">
      <c r="A19" s="4" t="s">
        <v>1196</v>
      </c>
      <c r="B19" s="29" t="str">
        <f>IF(RefStr!I21&lt;&gt;"",RefStr!I21,"")</f>
        <v>DA</v>
      </c>
      <c r="D19" s="4" t="s">
        <v>1521</v>
      </c>
      <c r="E19" s="4">
        <v>1</v>
      </c>
      <c r="F19" s="4">
        <f>Bilanca!G26</f>
        <v>18</v>
      </c>
      <c r="G19" s="4">
        <f>IF(Bilanca!H26=0,"",Bilanca!H26)</f>
      </c>
      <c r="H19" s="30">
        <f t="shared" si="0"/>
        <v>92816.28</v>
      </c>
      <c r="I19" s="31">
        <f t="shared" si="1"/>
        <v>0</v>
      </c>
      <c r="J19" s="31">
        <f>Bilanca!I26</f>
        <v>171882</v>
      </c>
      <c r="K19" s="31">
        <f>Bilanca!J26</f>
        <v>171882</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12000</v>
      </c>
      <c r="I21" s="31">
        <f t="shared" si="1"/>
        <v>0</v>
      </c>
      <c r="J21" s="31">
        <f>Bilanca!I28</f>
        <v>20000</v>
      </c>
      <c r="K21" s="31">
        <f>Bilanca!J28</f>
        <v>20000</v>
      </c>
    </row>
    <row r="22" spans="1:11" ht="12.75">
      <c r="A22" s="4" t="s">
        <v>1199</v>
      </c>
      <c r="B22" s="29">
        <f>RefStr!C52</f>
        <v>21</v>
      </c>
      <c r="D22" s="4" t="s">
        <v>1521</v>
      </c>
      <c r="E22" s="4">
        <v>1</v>
      </c>
      <c r="F22" s="4">
        <f>Bilanca!G29</f>
        <v>21</v>
      </c>
      <c r="G22" s="4">
        <f>IF(Bilanca!H29=0,"",Bilanca!H29)</f>
      </c>
      <c r="H22" s="30">
        <f t="shared" si="0"/>
        <v>12600</v>
      </c>
      <c r="I22" s="31">
        <f t="shared" si="1"/>
        <v>0</v>
      </c>
      <c r="J22" s="31">
        <f>Bilanca!I29</f>
        <v>20000</v>
      </c>
      <c r="K22" s="31">
        <f>Bilanca!J29</f>
        <v>20000</v>
      </c>
    </row>
    <row r="23" spans="1:11" ht="12.75">
      <c r="A23" s="4" t="s">
        <v>1200</v>
      </c>
      <c r="B23" s="29">
        <f>RefStr!C54</f>
        <v>8</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92</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80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80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2405097.68</v>
      </c>
      <c r="I38" s="31">
        <f t="shared" si="1"/>
        <v>0</v>
      </c>
      <c r="J38" s="31">
        <f>Bilanca!I45</f>
        <v>4179336</v>
      </c>
      <c r="K38" s="31">
        <f>Bilanca!J45</f>
        <v>1160464</v>
      </c>
    </row>
    <row r="39" spans="1:11" ht="12.75">
      <c r="A39" s="4" t="s">
        <v>1216</v>
      </c>
      <c r="B39" s="29" t="str">
        <f>RefStr!C68</f>
        <v>Matija Svirčić</v>
      </c>
      <c r="D39" s="4" t="s">
        <v>1521</v>
      </c>
      <c r="E39" s="4">
        <v>1</v>
      </c>
      <c r="F39" s="4">
        <f>Bilanca!G46</f>
        <v>38</v>
      </c>
      <c r="G39" s="4">
        <f>IF(Bilanca!H46=0,"",Bilanca!H46)</f>
      </c>
      <c r="H39" s="30">
        <f t="shared" si="0"/>
        <v>157893.04</v>
      </c>
      <c r="I39" s="31">
        <f t="shared" si="1"/>
        <v>0</v>
      </c>
      <c r="J39" s="31">
        <f>Bilanca!I46</f>
        <v>178170</v>
      </c>
      <c r="K39" s="31">
        <f>Bilanca!J46</f>
        <v>118669</v>
      </c>
    </row>
    <row r="40" spans="1:11" ht="12.75">
      <c r="A40" s="4" t="s">
        <v>1217</v>
      </c>
      <c r="B40" s="29" t="str">
        <f>TRIM(RefStr!C70)</f>
        <v>0915793245</v>
      </c>
      <c r="D40" s="4" t="s">
        <v>1521</v>
      </c>
      <c r="E40" s="4">
        <v>1</v>
      </c>
      <c r="F40" s="4">
        <f>Bilanca!G47</f>
        <v>39</v>
      </c>
      <c r="G40" s="4">
        <f>IF(Bilanca!H47=0,"",Bilanca!H47)</f>
      </c>
      <c r="H40" s="30">
        <f t="shared" si="0"/>
        <v>156184.47</v>
      </c>
      <c r="I40" s="31">
        <f t="shared" si="1"/>
        <v>0</v>
      </c>
      <c r="J40" s="31">
        <f>Bilanca!I47</f>
        <v>172369</v>
      </c>
      <c r="K40" s="31">
        <f>Bilanca!J47</f>
        <v>114052</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financije@hotelivodice.hr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ROBERTA RUDAN</v>
      </c>
      <c r="D43" s="4" t="s">
        <v>1521</v>
      </c>
      <c r="E43" s="4">
        <v>1</v>
      </c>
      <c r="F43" s="4">
        <f>Bilanca!G50</f>
        <v>42</v>
      </c>
      <c r="G43" s="4">
        <f>IF(Bilanca!H50=0,"",Bilanca!H50)</f>
      </c>
      <c r="H43" s="30">
        <f t="shared" si="0"/>
        <v>6314.700000000001</v>
      </c>
      <c r="I43" s="31">
        <f t="shared" si="1"/>
        <v>0</v>
      </c>
      <c r="J43" s="31">
        <f>Bilanca!I50</f>
        <v>5801</v>
      </c>
      <c r="K43" s="31">
        <f>Bilanca!J50</f>
        <v>4617</v>
      </c>
    </row>
    <row r="44" spans="1:11" ht="12.75">
      <c r="A44" s="4" t="s">
        <v>2852</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2244747.56</v>
      </c>
      <c r="I47" s="31">
        <f t="shared" si="3"/>
        <v>0</v>
      </c>
      <c r="J47" s="31">
        <f>Bilanca!I54</f>
        <v>3260986</v>
      </c>
      <c r="K47" s="31">
        <f>Bilanca!J54</f>
        <v>809450</v>
      </c>
    </row>
    <row r="48" spans="1:11" ht="12.75">
      <c r="A48" s="4" t="s">
        <v>1918</v>
      </c>
      <c r="B48" s="29" t="str">
        <f>RefStr!I54</f>
        <v>DA</v>
      </c>
      <c r="D48" s="4" t="s">
        <v>1521</v>
      </c>
      <c r="E48" s="4">
        <v>1</v>
      </c>
      <c r="F48" s="4">
        <f>Bilanca!G55</f>
        <v>47</v>
      </c>
      <c r="G48" s="4">
        <f>IF(Bilanca!H55=0,"",Bilanca!H55)</f>
      </c>
      <c r="H48" s="30">
        <f t="shared" si="2"/>
        <v>24054.13</v>
      </c>
      <c r="I48" s="31">
        <f t="shared" si="3"/>
        <v>0</v>
      </c>
      <c r="J48" s="31">
        <f>Bilanca!I55</f>
        <v>51179</v>
      </c>
      <c r="K48" s="31">
        <f>Bilanca!J55</f>
        <v>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966536.27</v>
      </c>
      <c r="I50" s="31">
        <f t="shared" si="3"/>
        <v>0</v>
      </c>
      <c r="J50" s="31">
        <f>Bilanca!I57</f>
        <v>1901039</v>
      </c>
      <c r="K50" s="31">
        <f>Bilanca!J57</f>
        <v>35742</v>
      </c>
    </row>
    <row r="51" spans="1:11" ht="12.75">
      <c r="A51" s="4" t="s">
        <v>288</v>
      </c>
      <c r="B51" s="29" t="str">
        <f>RefStr!I60</f>
        <v>DA</v>
      </c>
      <c r="D51" s="4" t="s">
        <v>1521</v>
      </c>
      <c r="E51" s="4">
        <v>1</v>
      </c>
      <c r="F51" s="4">
        <f>Bilanca!G58</f>
        <v>50</v>
      </c>
      <c r="G51" s="4">
        <f>IF(Bilanca!H58=0,"",Bilanca!H58)</f>
      </c>
      <c r="H51" s="30">
        <f t="shared" si="2"/>
        <v>184423</v>
      </c>
      <c r="I51" s="31">
        <f t="shared" si="3"/>
        <v>0</v>
      </c>
      <c r="J51" s="31">
        <f>Bilanca!I58</f>
        <v>290846</v>
      </c>
      <c r="K51" s="31">
        <f>Bilanca!J58</f>
        <v>39000</v>
      </c>
    </row>
    <row r="52" spans="1:11" ht="12.75">
      <c r="A52" s="4" t="s">
        <v>1219</v>
      </c>
      <c r="B52" s="29" t="s">
        <v>2618</v>
      </c>
      <c r="D52" s="4" t="s">
        <v>1521</v>
      </c>
      <c r="E52" s="4">
        <v>1</v>
      </c>
      <c r="F52" s="4">
        <f>Bilanca!G59</f>
        <v>51</v>
      </c>
      <c r="G52" s="4">
        <f>IF(Bilanca!H59=0,"",Bilanca!H59)</f>
      </c>
      <c r="H52" s="30">
        <f t="shared" si="2"/>
        <v>199399.8</v>
      </c>
      <c r="I52" s="31">
        <f t="shared" si="3"/>
        <v>0</v>
      </c>
      <c r="J52" s="31">
        <f>Bilanca!I59</f>
        <v>31640</v>
      </c>
      <c r="K52" s="31">
        <f>Bilanca!J59</f>
        <v>179670</v>
      </c>
    </row>
    <row r="53" spans="1:11" ht="12.75">
      <c r="A53" s="4" t="s">
        <v>532</v>
      </c>
      <c r="B53" s="29" t="str">
        <f>RefStr!I56</f>
        <v>DA</v>
      </c>
      <c r="D53" s="4" t="s">
        <v>1521</v>
      </c>
      <c r="E53" s="4">
        <v>1</v>
      </c>
      <c r="F53" s="4">
        <f>Bilanca!G60</f>
        <v>52</v>
      </c>
      <c r="G53" s="4">
        <f>IF(Bilanca!H60=0,"",Bilanca!H60)</f>
      </c>
      <c r="H53" s="30">
        <f t="shared" si="2"/>
        <v>1090106.1600000001</v>
      </c>
      <c r="I53" s="31">
        <f t="shared" si="3"/>
        <v>0</v>
      </c>
      <c r="J53" s="31">
        <f>Bilanca!I60</f>
        <v>986282</v>
      </c>
      <c r="K53" s="31">
        <f>Bilanca!J60</f>
        <v>555038</v>
      </c>
    </row>
    <row r="54" spans="1:11" ht="12.75">
      <c r="A54" s="4" t="s">
        <v>533</v>
      </c>
      <c r="B54" s="29" t="str">
        <f>RefStr!I62</f>
        <v>DA</v>
      </c>
      <c r="D54" s="4" t="s">
        <v>1521</v>
      </c>
      <c r="E54" s="4">
        <v>1</v>
      </c>
      <c r="F54" s="4">
        <f>Bilanca!G61</f>
        <v>53</v>
      </c>
      <c r="G54" s="4">
        <f>IF(Bilanca!H61=0,"",Bilanca!H61)</f>
      </c>
      <c r="H54" s="30">
        <f t="shared" si="2"/>
        <v>298114.4</v>
      </c>
      <c r="I54" s="31">
        <f t="shared" si="3"/>
        <v>0</v>
      </c>
      <c r="J54" s="31">
        <f>Bilanca!I61</f>
        <v>539368</v>
      </c>
      <c r="K54" s="31">
        <f>Bilanca!J61</f>
        <v>11556</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54246.079999999994</v>
      </c>
      <c r="I57" s="31">
        <f t="shared" si="3"/>
        <v>0</v>
      </c>
      <c r="J57" s="31">
        <f>Bilanca!I64</f>
        <v>96868</v>
      </c>
      <c r="K57" s="31">
        <f>Bilanca!J64</f>
        <v>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4969666525.839999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284023.32</v>
      </c>
      <c r="I62" s="31">
        <f t="shared" si="3"/>
        <v>0</v>
      </c>
      <c r="J62" s="31">
        <f>Bilanca!I69</f>
        <v>442500</v>
      </c>
      <c r="K62" s="31">
        <f>Bilanca!J69</f>
        <v>11556</v>
      </c>
    </row>
    <row r="63" spans="1:11" ht="12.75">
      <c r="A63" s="4" t="s">
        <v>777</v>
      </c>
      <c r="B63" s="29" t="str">
        <f>IF(ISNUMBER(VALUE(RefStr!L21)),TEXT(INT(VALUE(RefStr!L21)),"00000000000"),"")</f>
        <v>71799539000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404705.69999999995</v>
      </c>
      <c r="I64" s="31">
        <f t="shared" si="3"/>
        <v>0</v>
      </c>
      <c r="J64" s="31">
        <f>Bilanca!I71</f>
        <v>200812</v>
      </c>
      <c r="K64" s="31">
        <f>Bilanca!J71</f>
        <v>220789</v>
      </c>
    </row>
    <row r="65" spans="1:11" ht="12.75">
      <c r="A65" s="4" t="s">
        <v>687</v>
      </c>
      <c r="B65" s="29" t="str">
        <f>RefStr!N19</f>
        <v>MSFI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272754307.8</v>
      </c>
      <c r="I66" s="31">
        <f t="shared" si="3"/>
        <v>0</v>
      </c>
      <c r="J66" s="31">
        <f>Bilanca!I73</f>
        <v>266168210</v>
      </c>
      <c r="K66" s="31">
        <f>Bilanca!J73</f>
        <v>76726901</v>
      </c>
    </row>
    <row r="67" spans="1:11" ht="12.75">
      <c r="A67" s="4" t="s">
        <v>689</v>
      </c>
      <c r="B67" s="29" t="str">
        <f>RefStr!L35</f>
        <v>0915793245</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7</v>
      </c>
      <c r="D68" s="4" t="s">
        <v>1521</v>
      </c>
      <c r="E68" s="4">
        <v>1</v>
      </c>
      <c r="F68" s="4">
        <f>Bilanca!G76</f>
        <v>67</v>
      </c>
      <c r="G68" s="4">
        <f>IF(Bilanca!H76=0,"",Bilanca!H76)</f>
      </c>
      <c r="H68" s="30">
        <f t="shared" si="2"/>
        <v>130386438.75</v>
      </c>
      <c r="I68" s="31">
        <f t="shared" si="3"/>
        <v>0</v>
      </c>
      <c r="J68" s="31">
        <f>Bilanca!I76</f>
        <v>175343851</v>
      </c>
      <c r="K68" s="31">
        <f>Bilanca!J76</f>
        <v>9631387</v>
      </c>
    </row>
    <row r="69" spans="1:11" ht="12.75">
      <c r="A69" s="4" t="s">
        <v>691</v>
      </c>
      <c r="B69" s="29">
        <f>RefStr!M46</f>
        <v>0</v>
      </c>
      <c r="D69" s="4" t="s">
        <v>1521</v>
      </c>
      <c r="E69" s="4">
        <v>1</v>
      </c>
      <c r="F69" s="4">
        <f>Bilanca!G77</f>
        <v>68</v>
      </c>
      <c r="G69" s="4">
        <f>IF(Bilanca!H77=0,"",Bilanca!H77)</f>
      </c>
      <c r="H69" s="30">
        <f t="shared" si="2"/>
        <v>321796482.96</v>
      </c>
      <c r="I69" s="31">
        <f t="shared" si="3"/>
        <v>0</v>
      </c>
      <c r="J69" s="31">
        <f>Bilanca!I77</f>
        <v>157743374</v>
      </c>
      <c r="K69" s="31">
        <f>Bilanca!J77</f>
        <v>157743374</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-23444.4</v>
      </c>
      <c r="I71" s="31">
        <f t="shared" si="3"/>
        <v>0</v>
      </c>
      <c r="J71" s="31">
        <f>Bilanca!I79</f>
        <v>-11164</v>
      </c>
      <c r="K71" s="31">
        <f>Bilanca!J79</f>
        <v>-11164</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24449.16</v>
      </c>
      <c r="I74" s="31">
        <f t="shared" si="3"/>
        <v>0</v>
      </c>
      <c r="J74" s="31">
        <f>Bilanca!I82</f>
        <v>11164</v>
      </c>
      <c r="K74" s="31">
        <f>Bilanca!J82</f>
        <v>11164</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127740340.96</v>
      </c>
      <c r="I77" s="31">
        <f t="shared" si="3"/>
        <v>0</v>
      </c>
      <c r="J77" s="31">
        <f>Bilanca!I85</f>
        <v>147376592</v>
      </c>
      <c r="K77" s="31">
        <f>Bilanca!J85</f>
        <v>10351402</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-312158796.3</v>
      </c>
      <c r="I82" s="31">
        <f t="shared" si="3"/>
        <v>0</v>
      </c>
      <c r="J82" s="31">
        <f>Bilanca!I90</f>
        <v>-127328090</v>
      </c>
      <c r="K82" s="31">
        <f>Bilanca!J90</f>
        <v>-129026570</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319866420.9</v>
      </c>
      <c r="I84" s="31">
        <f t="shared" si="3"/>
        <v>0</v>
      </c>
      <c r="J84" s="31">
        <f>Bilanca!I92</f>
        <v>127328090</v>
      </c>
      <c r="K84" s="31">
        <f>Bilanca!J92</f>
        <v>129026570</v>
      </c>
    </row>
    <row r="85" spans="4:11" ht="12.75">
      <c r="D85" s="4" t="s">
        <v>1521</v>
      </c>
      <c r="E85" s="4">
        <v>1</v>
      </c>
      <c r="F85" s="4">
        <f>Bilanca!G93</f>
        <v>84</v>
      </c>
      <c r="G85" s="4">
        <f>IF(Bilanca!H93=0,"",Bilanca!H93)</f>
      </c>
      <c r="H85" s="30">
        <f>J85/100*F85+2*K85/100*F85</f>
        <v>-51482063.64</v>
      </c>
      <c r="I85" s="31">
        <f>ABS(ROUND(J85,0)-J85)+ABS(ROUND(K85,0)-K85)</f>
        <v>0</v>
      </c>
      <c r="J85" s="31">
        <f>Bilanca!I93</f>
        <v>-2436861</v>
      </c>
      <c r="K85" s="31">
        <f>Bilanca!J93</f>
        <v>-29425655</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52707827.06</v>
      </c>
      <c r="I87" s="31">
        <f aca="true" t="shared" si="5" ref="I87:I127">ABS(ROUND(J87,0)-J87)+ABS(ROUND(K87,0)-K87)</f>
        <v>0</v>
      </c>
      <c r="J87" s="31">
        <f>Bilanca!I95</f>
        <v>2436861</v>
      </c>
      <c r="K87" s="31">
        <f>Bilanca!J95</f>
        <v>29425655</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5476563.84</v>
      </c>
      <c r="I89" s="31">
        <f t="shared" si="5"/>
        <v>0</v>
      </c>
      <c r="J89" s="31">
        <f>Bilanca!I97</f>
        <v>0</v>
      </c>
      <c r="K89" s="31">
        <f>Bilanca!J97</f>
        <v>3111684</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5663264.88</v>
      </c>
      <c r="I92" s="31">
        <f t="shared" si="5"/>
        <v>0</v>
      </c>
      <c r="J92" s="31">
        <f>Bilanca!I100</f>
        <v>0</v>
      </c>
      <c r="K92" s="31">
        <f>Bilanca!J100</f>
        <v>3111684</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41975275.949999996</v>
      </c>
      <c r="I96" s="31">
        <f t="shared" si="5"/>
        <v>0</v>
      </c>
      <c r="J96" s="31">
        <f>Bilanca!I104</f>
        <v>36223287</v>
      </c>
      <c r="K96" s="31">
        <f>Bilanca!J104</f>
        <v>3980607</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67301.35</v>
      </c>
      <c r="I102" s="31">
        <f t="shared" si="5"/>
        <v>0</v>
      </c>
      <c r="J102" s="31">
        <f>Bilanca!I110</f>
        <v>66635</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5783121.43</v>
      </c>
      <c r="I104" s="31">
        <f t="shared" si="5"/>
        <v>0</v>
      </c>
      <c r="J104" s="31">
        <f>Bilanca!I112</f>
        <v>3295549</v>
      </c>
      <c r="K104" s="31">
        <f>Bilanca!J112</f>
        <v>1159566</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1727726.7</v>
      </c>
      <c r="I106" s="31">
        <f t="shared" si="5"/>
        <v>0</v>
      </c>
      <c r="J106" s="31">
        <f>Bilanca!I114</f>
        <v>547890</v>
      </c>
      <c r="K106" s="31">
        <f>Bilanca!J114</f>
        <v>548782</v>
      </c>
    </row>
    <row r="107" spans="4:11" ht="12.75">
      <c r="D107" s="4" t="s">
        <v>1521</v>
      </c>
      <c r="E107" s="4">
        <v>1</v>
      </c>
      <c r="F107" s="4">
        <f>Bilanca!G115</f>
        <v>106</v>
      </c>
      <c r="G107" s="4">
        <f>IF(Bilanca!H115=0,"",Bilanca!H115)</f>
      </c>
      <c r="H107" s="30">
        <f t="shared" si="4"/>
        <v>39069194.86</v>
      </c>
      <c r="I107" s="31">
        <f t="shared" si="5"/>
        <v>0</v>
      </c>
      <c r="J107" s="31">
        <f>Bilanca!I115</f>
        <v>32313213</v>
      </c>
      <c r="K107" s="31">
        <f>Bilanca!J115</f>
        <v>2272259</v>
      </c>
    </row>
    <row r="108" spans="4:11" ht="12.75">
      <c r="D108" s="4" t="s">
        <v>1521</v>
      </c>
      <c r="E108" s="4">
        <v>1</v>
      </c>
      <c r="F108" s="4">
        <f>Bilanca!G116</f>
        <v>107</v>
      </c>
      <c r="G108" s="4">
        <f>IF(Bilanca!H116=0,"",Bilanca!H116)</f>
      </c>
      <c r="H108" s="30">
        <f t="shared" si="4"/>
        <v>186830044.26</v>
      </c>
      <c r="I108" s="31">
        <f t="shared" si="5"/>
        <v>0</v>
      </c>
      <c r="J108" s="31">
        <f>Bilanca!I116</f>
        <v>54601072</v>
      </c>
      <c r="K108" s="31">
        <f>Bilanca!J116</f>
        <v>60003223</v>
      </c>
    </row>
    <row r="109" spans="4:11" ht="12.75">
      <c r="D109" s="4" t="s">
        <v>1521</v>
      </c>
      <c r="E109" s="4">
        <v>1</v>
      </c>
      <c r="F109" s="4">
        <f>Bilanca!G117</f>
        <v>108</v>
      </c>
      <c r="G109" s="4">
        <f>IF(Bilanca!H117=0,"",Bilanca!H117)</f>
      </c>
      <c r="H109" s="30">
        <f t="shared" si="4"/>
        <v>700977.24</v>
      </c>
      <c r="I109" s="31">
        <f t="shared" si="5"/>
        <v>0</v>
      </c>
      <c r="J109" s="31">
        <f>Bilanca!I117</f>
        <v>649053</v>
      </c>
      <c r="K109" s="31">
        <f>Bilanca!J117</f>
        <v>0</v>
      </c>
    </row>
    <row r="110" spans="4:11" ht="12.75">
      <c r="D110" s="4" t="s">
        <v>1521</v>
      </c>
      <c r="E110" s="4">
        <v>1</v>
      </c>
      <c r="F110" s="4">
        <f>Bilanca!G118</f>
        <v>109</v>
      </c>
      <c r="G110" s="4">
        <f>IF(Bilanca!H118=0,"",Bilanca!H118)</f>
      </c>
      <c r="H110" s="30">
        <f t="shared" si="4"/>
        <v>32.699999999999996</v>
      </c>
      <c r="I110" s="31">
        <f t="shared" si="5"/>
        <v>0</v>
      </c>
      <c r="J110" s="31">
        <f>Bilanca!I118</f>
        <v>30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44231810.56</v>
      </c>
      <c r="I113" s="31">
        <f t="shared" si="5"/>
        <v>0</v>
      </c>
      <c r="J113" s="31">
        <f>Bilanca!I121</f>
        <v>817088</v>
      </c>
      <c r="K113" s="31">
        <f>Bilanca!J121</f>
        <v>19337800</v>
      </c>
    </row>
    <row r="114" spans="4:11" ht="12.75">
      <c r="D114" s="4" t="s">
        <v>1521</v>
      </c>
      <c r="E114" s="4">
        <v>1</v>
      </c>
      <c r="F114" s="4">
        <f>Bilanca!G122</f>
        <v>113</v>
      </c>
      <c r="G114" s="4">
        <f>IF(Bilanca!H122=0,"",Bilanca!H122)</f>
      </c>
      <c r="H114" s="30">
        <f t="shared" si="4"/>
        <v>123924181.21000001</v>
      </c>
      <c r="I114" s="31">
        <f t="shared" si="5"/>
        <v>0</v>
      </c>
      <c r="J114" s="31">
        <f>Bilanca!I122</f>
        <v>36470827</v>
      </c>
      <c r="K114" s="31">
        <f>Bilanca!J122</f>
        <v>36598295</v>
      </c>
    </row>
    <row r="115" spans="4:11" ht="12.75">
      <c r="D115" s="4" t="s">
        <v>1521</v>
      </c>
      <c r="E115" s="4">
        <v>1</v>
      </c>
      <c r="F115" s="4">
        <f>Bilanca!G123</f>
        <v>114</v>
      </c>
      <c r="G115" s="4">
        <f>IF(Bilanca!H123=0,"",Bilanca!H123)</f>
      </c>
      <c r="H115" s="30">
        <f t="shared" si="4"/>
        <v>1659821.76</v>
      </c>
      <c r="I115" s="31">
        <f t="shared" si="5"/>
        <v>0</v>
      </c>
      <c r="J115" s="31">
        <f>Bilanca!I123</f>
        <v>718576</v>
      </c>
      <c r="K115" s="31">
        <f>Bilanca!J123</f>
        <v>368704</v>
      </c>
    </row>
    <row r="116" spans="4:11" ht="12.75">
      <c r="D116" s="4" t="s">
        <v>1521</v>
      </c>
      <c r="E116" s="4">
        <v>1</v>
      </c>
      <c r="F116" s="4">
        <f>Bilanca!G124</f>
        <v>115</v>
      </c>
      <c r="G116" s="4">
        <f>IF(Bilanca!H124=0,"",Bilanca!H124)</f>
      </c>
      <c r="H116" s="30">
        <f t="shared" si="4"/>
        <v>19903220.2</v>
      </c>
      <c r="I116" s="31">
        <f t="shared" si="5"/>
        <v>0</v>
      </c>
      <c r="J116" s="31">
        <f>Bilanca!I124</f>
        <v>11418626</v>
      </c>
      <c r="K116" s="31">
        <f>Bilanca!J124</f>
        <v>2944261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1770219.3599999999</v>
      </c>
      <c r="I118" s="31">
        <f t="shared" si="5"/>
        <v>0</v>
      </c>
      <c r="J118" s="31">
        <f>Bilanca!I126</f>
        <v>1072850</v>
      </c>
      <c r="K118" s="31">
        <f>Bilanca!J126</f>
        <v>220079</v>
      </c>
    </row>
    <row r="119" spans="4:11" ht="12.75">
      <c r="D119" s="4" t="s">
        <v>1521</v>
      </c>
      <c r="E119" s="4">
        <v>1</v>
      </c>
      <c r="F119" s="4">
        <f>Bilanca!G127</f>
        <v>118</v>
      </c>
      <c r="G119" s="4">
        <f>IF(Bilanca!H127=0,"",Bilanca!H127)</f>
      </c>
      <c r="H119" s="30">
        <f t="shared" si="4"/>
        <v>4661966.42</v>
      </c>
      <c r="I119" s="31">
        <f t="shared" si="5"/>
        <v>0</v>
      </c>
      <c r="J119" s="31">
        <f>Bilanca!I127</f>
        <v>3415225</v>
      </c>
      <c r="K119" s="31">
        <f>Bilanca!J127</f>
        <v>267797</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691358.9099999999</v>
      </c>
      <c r="I122" s="31">
        <f t="shared" si="5"/>
        <v>0</v>
      </c>
      <c r="J122" s="31">
        <f>Bilanca!I130</f>
        <v>38797</v>
      </c>
      <c r="K122" s="31">
        <f>Bilanca!J130</f>
        <v>266287</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516135074.76</v>
      </c>
      <c r="I124" s="31">
        <f t="shared" si="5"/>
        <v>0</v>
      </c>
      <c r="J124" s="31">
        <f>Bilanca!I132</f>
        <v>266168210</v>
      </c>
      <c r="K124" s="31">
        <f>Bilanca!J132</f>
        <v>76726901</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70738468.75</v>
      </c>
      <c r="I126" s="4">
        <f t="shared" si="5"/>
        <v>0</v>
      </c>
      <c r="J126" s="31">
        <f>RDG!I8</f>
        <v>19497053</v>
      </c>
      <c r="K126" s="31">
        <f>RDG!J8</f>
        <v>18546861</v>
      </c>
    </row>
    <row r="127" spans="4:11" ht="12.75">
      <c r="D127" s="4" t="s">
        <v>541</v>
      </c>
      <c r="E127" s="4">
        <v>2</v>
      </c>
      <c r="F127" s="4">
        <f>RDG!G9</f>
        <v>126</v>
      </c>
      <c r="G127" s="4">
        <f>IF(RDG!H9=0,"",RDG!H9)</f>
      </c>
      <c r="H127" s="30">
        <f t="shared" si="4"/>
        <v>10960670.7</v>
      </c>
      <c r="I127" s="4">
        <f t="shared" si="5"/>
        <v>0</v>
      </c>
      <c r="J127" s="31">
        <f>RDG!I9</f>
        <v>2362883</v>
      </c>
      <c r="K127" s="31">
        <f>RDG!J9</f>
        <v>3168031</v>
      </c>
    </row>
    <row r="128" spans="4:11" ht="12.75">
      <c r="D128" s="4" t="s">
        <v>541</v>
      </c>
      <c r="E128" s="4">
        <v>2</v>
      </c>
      <c r="F128" s="4">
        <f>RDG!G10</f>
        <v>127</v>
      </c>
      <c r="G128" s="4">
        <f>IF(RDG!H10=0,"",RDG!H10)</f>
      </c>
      <c r="H128" s="30">
        <f aca="true" t="shared" si="6" ref="H128:H190">J128/100*F128+2*K128/100*F128</f>
        <v>55755887.980000004</v>
      </c>
      <c r="I128" s="4">
        <f aca="true" t="shared" si="7" ref="I128:I190">ABS(ROUND(J128,0)-J128)+ABS(ROUND(K128,0)-K128)</f>
        <v>0</v>
      </c>
      <c r="J128" s="31">
        <f>RDG!I10</f>
        <v>16150290</v>
      </c>
      <c r="K128" s="31">
        <f>RDG!J10</f>
        <v>13875992</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2402982.33</v>
      </c>
      <c r="I130" s="4">
        <f t="shared" si="7"/>
        <v>0</v>
      </c>
      <c r="J130" s="31">
        <f>RDG!I12</f>
        <v>826507</v>
      </c>
      <c r="K130" s="31">
        <f>RDG!J12</f>
        <v>518135</v>
      </c>
    </row>
    <row r="131" spans="4:11" ht="12.75">
      <c r="D131" s="4" t="s">
        <v>541</v>
      </c>
      <c r="E131" s="4">
        <v>2</v>
      </c>
      <c r="F131" s="4">
        <f>RDG!G13</f>
        <v>130</v>
      </c>
      <c r="G131" s="4">
        <f>IF(RDG!H13=0,"",RDG!H13)</f>
      </c>
      <c r="H131" s="30">
        <f t="shared" si="6"/>
        <v>2764812.7</v>
      </c>
      <c r="I131" s="4">
        <f t="shared" si="7"/>
        <v>0</v>
      </c>
      <c r="J131" s="31">
        <f>RDG!I13</f>
        <v>157373</v>
      </c>
      <c r="K131" s="31">
        <f>RDG!J13</f>
        <v>984703</v>
      </c>
    </row>
    <row r="132" spans="4:11" ht="12.75">
      <c r="D132" s="4" t="s">
        <v>541</v>
      </c>
      <c r="E132" s="4">
        <v>2</v>
      </c>
      <c r="F132" s="4">
        <f>RDG!G14</f>
        <v>131</v>
      </c>
      <c r="G132" s="4">
        <f>IF(RDG!H14=0,"",RDG!H14)</f>
      </c>
      <c r="H132" s="30">
        <f t="shared" si="6"/>
        <v>152597218.06</v>
      </c>
      <c r="I132" s="4">
        <f t="shared" si="7"/>
        <v>0</v>
      </c>
      <c r="J132" s="31">
        <f>RDG!I14</f>
        <v>22099026</v>
      </c>
      <c r="K132" s="31">
        <f>RDG!J14</f>
        <v>47193700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33610221.19</v>
      </c>
      <c r="I134" s="4">
        <f t="shared" si="7"/>
        <v>0</v>
      </c>
      <c r="J134" s="31">
        <f>RDG!I16</f>
        <v>9027375</v>
      </c>
      <c r="K134" s="31">
        <f>RDG!J16</f>
        <v>8121734</v>
      </c>
    </row>
    <row r="135" spans="4:11" ht="12.75">
      <c r="D135" s="4" t="s">
        <v>541</v>
      </c>
      <c r="E135" s="4">
        <v>2</v>
      </c>
      <c r="F135" s="4">
        <f>RDG!G17</f>
        <v>134</v>
      </c>
      <c r="G135" s="4">
        <f>IF(RDG!H17=0,"",RDG!H17)</f>
      </c>
      <c r="H135" s="30">
        <f t="shared" si="6"/>
        <v>20414956.28</v>
      </c>
      <c r="I135" s="4">
        <f t="shared" si="7"/>
        <v>0</v>
      </c>
      <c r="J135" s="31">
        <f>RDG!I17</f>
        <v>5471982</v>
      </c>
      <c r="K135" s="31">
        <f>RDG!J17</f>
        <v>4881530</v>
      </c>
    </row>
    <row r="136" spans="4:11" ht="12.75">
      <c r="D136" s="4" t="s">
        <v>541</v>
      </c>
      <c r="E136" s="4">
        <v>2</v>
      </c>
      <c r="F136" s="4">
        <f>RDG!G18</f>
        <v>135</v>
      </c>
      <c r="G136" s="4">
        <f>IF(RDG!H18=0,"",RDG!H18)</f>
      </c>
      <c r="H136" s="30">
        <f t="shared" si="6"/>
        <v>7813.799999999999</v>
      </c>
      <c r="I136" s="4">
        <f t="shared" si="7"/>
        <v>0</v>
      </c>
      <c r="J136" s="31">
        <f>RDG!I18</f>
        <v>5104</v>
      </c>
      <c r="K136" s="31">
        <f>RDG!J18</f>
        <v>342</v>
      </c>
    </row>
    <row r="137" spans="4:11" ht="12.75">
      <c r="D137" s="4" t="s">
        <v>541</v>
      </c>
      <c r="E137" s="4">
        <v>2</v>
      </c>
      <c r="F137" s="4">
        <f>RDG!G19</f>
        <v>136</v>
      </c>
      <c r="G137" s="4">
        <f>IF(RDG!H19=0,"",RDG!H19)</f>
      </c>
      <c r="H137" s="30">
        <f t="shared" si="6"/>
        <v>13640817.68</v>
      </c>
      <c r="I137" s="4">
        <f t="shared" si="7"/>
        <v>0</v>
      </c>
      <c r="J137" s="31">
        <f>RDG!I19</f>
        <v>3550289</v>
      </c>
      <c r="K137" s="31">
        <f>RDG!J19</f>
        <v>3239862</v>
      </c>
    </row>
    <row r="138" spans="4:11" ht="12.75">
      <c r="D138" s="4" t="s">
        <v>541</v>
      </c>
      <c r="E138" s="4">
        <v>2</v>
      </c>
      <c r="F138" s="4">
        <f>RDG!G20</f>
        <v>137</v>
      </c>
      <c r="G138" s="4">
        <f>IF(RDG!H20=0,"",RDG!H20)</f>
      </c>
      <c r="H138" s="30">
        <f t="shared" si="6"/>
        <v>35639196.44</v>
      </c>
      <c r="I138" s="4">
        <f t="shared" si="7"/>
        <v>0</v>
      </c>
      <c r="J138" s="31">
        <f>RDG!I20</f>
        <v>9028016</v>
      </c>
      <c r="K138" s="31">
        <f>RDG!J20</f>
        <v>8492998</v>
      </c>
    </row>
    <row r="139" spans="4:11" ht="12.75">
      <c r="D139" s="4" t="s">
        <v>541</v>
      </c>
      <c r="E139" s="4">
        <v>2</v>
      </c>
      <c r="F139" s="4">
        <f>RDG!G21</f>
        <v>138</v>
      </c>
      <c r="G139" s="4">
        <f>IF(RDG!H21=0,"",RDG!H21)</f>
      </c>
      <c r="H139" s="30">
        <f t="shared" si="6"/>
        <v>22067515.14</v>
      </c>
      <c r="I139" s="4">
        <f t="shared" si="7"/>
        <v>0</v>
      </c>
      <c r="J139" s="31">
        <f>RDG!I21</f>
        <v>5506657</v>
      </c>
      <c r="K139" s="31">
        <f>RDG!J21</f>
        <v>5242148</v>
      </c>
    </row>
    <row r="140" spans="4:11" ht="12.75">
      <c r="D140" s="4" t="s">
        <v>541</v>
      </c>
      <c r="E140" s="4">
        <v>2</v>
      </c>
      <c r="F140" s="4">
        <f>RDG!G22</f>
        <v>139</v>
      </c>
      <c r="G140" s="4">
        <f>IF(RDG!H22=0,"",RDG!H22)</f>
      </c>
      <c r="H140" s="30">
        <f t="shared" si="6"/>
        <v>8974958.95</v>
      </c>
      <c r="I140" s="4">
        <f t="shared" si="7"/>
        <v>0</v>
      </c>
      <c r="J140" s="31">
        <f>RDG!I22</f>
        <v>2247019</v>
      </c>
      <c r="K140" s="31">
        <f>RDG!J22</f>
        <v>2104893</v>
      </c>
    </row>
    <row r="141" spans="4:11" ht="12.75">
      <c r="D141" s="4" t="s">
        <v>541</v>
      </c>
      <c r="E141" s="4">
        <v>2</v>
      </c>
      <c r="F141" s="4">
        <f>RDG!G23</f>
        <v>140</v>
      </c>
      <c r="G141" s="4">
        <f>IF(RDG!H23=0,"",RDG!H23)</f>
      </c>
      <c r="H141" s="30">
        <f t="shared" si="6"/>
        <v>4992755.6</v>
      </c>
      <c r="I141" s="4">
        <f t="shared" si="7"/>
        <v>0</v>
      </c>
      <c r="J141" s="31">
        <f>RDG!I23</f>
        <v>1274340</v>
      </c>
      <c r="K141" s="31">
        <f>RDG!J23</f>
        <v>1145957</v>
      </c>
    </row>
    <row r="142" spans="4:11" ht="12.75">
      <c r="D142" s="4" t="s">
        <v>541</v>
      </c>
      <c r="E142" s="4">
        <v>2</v>
      </c>
      <c r="F142" s="4">
        <f>RDG!G24</f>
        <v>141</v>
      </c>
      <c r="G142" s="4">
        <f>IF(RDG!H24=0,"",RDG!H24)</f>
      </c>
      <c r="H142" s="30">
        <f t="shared" si="6"/>
        <v>7684466.16</v>
      </c>
      <c r="I142" s="4">
        <f t="shared" si="7"/>
        <v>0</v>
      </c>
      <c r="J142" s="31">
        <f>RDG!I24</f>
        <v>1539338</v>
      </c>
      <c r="K142" s="31">
        <f>RDG!J24</f>
        <v>1955319</v>
      </c>
    </row>
    <row r="143" spans="4:11" ht="12.75">
      <c r="D143" s="4" t="s">
        <v>541</v>
      </c>
      <c r="E143" s="4">
        <v>2</v>
      </c>
      <c r="F143" s="4">
        <f>RDG!G25</f>
        <v>142</v>
      </c>
      <c r="G143" s="4">
        <f>IF(RDG!H25=0,"",RDG!H25)</f>
      </c>
      <c r="H143" s="30">
        <f t="shared" si="6"/>
        <v>10279905.399999999</v>
      </c>
      <c r="I143" s="4">
        <f t="shared" si="7"/>
        <v>0</v>
      </c>
      <c r="J143" s="31">
        <f>RDG!I25</f>
        <v>1879152</v>
      </c>
      <c r="K143" s="31">
        <f>RDG!J25</f>
        <v>2680109</v>
      </c>
    </row>
    <row r="144" spans="4:11" ht="12.75">
      <c r="D144" s="4" t="s">
        <v>541</v>
      </c>
      <c r="E144" s="4">
        <v>2</v>
      </c>
      <c r="F144" s="4">
        <f>RDG!G26</f>
        <v>143</v>
      </c>
      <c r="G144" s="4">
        <f>IF(RDG!H26=0,"",RDG!H26)</f>
      </c>
      <c r="H144" s="30">
        <f t="shared" si="6"/>
        <v>6905878.9799999995</v>
      </c>
      <c r="I144" s="4">
        <f t="shared" si="7"/>
        <v>0</v>
      </c>
      <c r="J144" s="31">
        <f>RDG!I26</f>
        <v>170012</v>
      </c>
      <c r="K144" s="31">
        <f>RDG!J26</f>
        <v>2329637</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7002464.7</v>
      </c>
      <c r="I146" s="4">
        <f t="shared" si="7"/>
        <v>0</v>
      </c>
      <c r="J146" s="31">
        <f>RDG!I28</f>
        <v>170012</v>
      </c>
      <c r="K146" s="31">
        <f>RDG!J28</f>
        <v>2329637</v>
      </c>
    </row>
    <row r="147" spans="4:11" ht="12.75">
      <c r="D147" s="4" t="s">
        <v>541</v>
      </c>
      <c r="E147" s="4">
        <v>2</v>
      </c>
      <c r="F147" s="4">
        <f>RDG!G29</f>
        <v>146</v>
      </c>
      <c r="G147" s="4">
        <f>IF(RDG!H29=0,"",RDG!H29)</f>
      </c>
      <c r="H147" s="30">
        <f t="shared" si="6"/>
        <v>9086117.28</v>
      </c>
      <c r="I147" s="4">
        <f t="shared" si="7"/>
        <v>0</v>
      </c>
      <c r="J147" s="31">
        <f>RDG!I29</f>
        <v>0</v>
      </c>
      <c r="K147" s="31">
        <f>RDG!J29</f>
        <v>3111684</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9459519.36</v>
      </c>
      <c r="I153" s="4">
        <f t="shared" si="7"/>
        <v>0</v>
      </c>
      <c r="J153" s="31">
        <f>RDG!I35</f>
        <v>0</v>
      </c>
      <c r="K153" s="31">
        <f>RDG!J35</f>
        <v>3111684</v>
      </c>
    </row>
    <row r="154" spans="4:11" ht="12.75">
      <c r="D154" s="4" t="s">
        <v>541</v>
      </c>
      <c r="E154" s="4">
        <v>2</v>
      </c>
      <c r="F154" s="4">
        <f>RDG!G36</f>
        <v>153</v>
      </c>
      <c r="G154" s="4">
        <f>IF(RDG!H36=0,"",RDG!H36)</f>
      </c>
      <c r="H154" s="30">
        <f t="shared" si="6"/>
        <v>63433143.63</v>
      </c>
      <c r="I154" s="4">
        <f t="shared" si="7"/>
        <v>0</v>
      </c>
      <c r="J154" s="31">
        <f>RDG!I36</f>
        <v>455133</v>
      </c>
      <c r="K154" s="31">
        <f>RDG!J36</f>
        <v>20502219</v>
      </c>
    </row>
    <row r="155" spans="4:11" ht="12.75">
      <c r="D155" s="4" t="s">
        <v>541</v>
      </c>
      <c r="E155" s="4">
        <v>2</v>
      </c>
      <c r="F155" s="4">
        <f>RDG!G37</f>
        <v>154</v>
      </c>
      <c r="G155" s="4">
        <f>IF(RDG!H37=0,"",RDG!H37)</f>
      </c>
      <c r="H155" s="30">
        <f t="shared" si="6"/>
        <v>904731.52</v>
      </c>
      <c r="I155" s="4">
        <f t="shared" si="7"/>
        <v>0</v>
      </c>
      <c r="J155" s="31">
        <f>RDG!I37</f>
        <v>493672</v>
      </c>
      <c r="K155" s="31">
        <f>RDG!J37</f>
        <v>46908</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26897.920000000002</v>
      </c>
      <c r="I159" s="4">
        <f t="shared" si="7"/>
        <v>0</v>
      </c>
      <c r="J159" s="31">
        <f>RDG!I41</f>
        <v>2588</v>
      </c>
      <c r="K159" s="31">
        <f>RDG!J41</f>
        <v>7218</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22366.12</v>
      </c>
      <c r="I162" s="4">
        <f t="shared" si="7"/>
        <v>0</v>
      </c>
      <c r="J162" s="31">
        <f>RDG!I44</f>
        <v>13892</v>
      </c>
      <c r="K162" s="31">
        <f>RDG!J44</f>
        <v>0</v>
      </c>
    </row>
    <row r="163" spans="4:11" ht="12.75">
      <c r="D163" s="4" t="s">
        <v>541</v>
      </c>
      <c r="E163" s="4">
        <v>2</v>
      </c>
      <c r="F163" s="4">
        <f>RDG!G45</f>
        <v>162</v>
      </c>
      <c r="G163" s="4">
        <f>IF(RDG!H45=0,"",RDG!H45)</f>
      </c>
      <c r="H163" s="30">
        <f t="shared" si="6"/>
        <v>901646.64</v>
      </c>
      <c r="I163" s="4">
        <f t="shared" si="7"/>
        <v>0</v>
      </c>
      <c r="J163" s="31">
        <f>RDG!I45</f>
        <v>477192</v>
      </c>
      <c r="K163" s="31">
        <f>RDG!J45</f>
        <v>39690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3522365.55</v>
      </c>
      <c r="I166" s="4">
        <f t="shared" si="7"/>
        <v>0</v>
      </c>
      <c r="J166" s="31">
        <f>RDG!I48</f>
        <v>483319</v>
      </c>
      <c r="K166" s="31">
        <f>RDG!J48</f>
        <v>825724</v>
      </c>
    </row>
    <row r="167" spans="4:11" ht="12.75">
      <c r="D167" s="4" t="s">
        <v>541</v>
      </c>
      <c r="E167" s="4">
        <v>2</v>
      </c>
      <c r="F167" s="4">
        <f>RDG!G49</f>
        <v>166</v>
      </c>
      <c r="G167" s="4">
        <f>IF(RDG!H49=0,"",RDG!H49)</f>
      </c>
      <c r="H167" s="30">
        <f t="shared" si="6"/>
        <v>858810.9600000001</v>
      </c>
      <c r="I167" s="4">
        <f t="shared" si="7"/>
        <v>0</v>
      </c>
      <c r="J167" s="31">
        <f>RDG!I49</f>
        <v>30</v>
      </c>
      <c r="K167" s="31">
        <f>RDG!J49</f>
        <v>258663</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1738559.76</v>
      </c>
      <c r="I169" s="4">
        <f t="shared" si="7"/>
        <v>0</v>
      </c>
      <c r="J169" s="31">
        <f>RDG!I51</f>
        <v>277983</v>
      </c>
      <c r="K169" s="31">
        <f>RDG!J51</f>
        <v>378437</v>
      </c>
    </row>
    <row r="170" spans="4:11" ht="12.75">
      <c r="D170" s="4" t="s">
        <v>541</v>
      </c>
      <c r="E170" s="4">
        <v>2</v>
      </c>
      <c r="F170" s="4">
        <f>RDG!G52</f>
        <v>169</v>
      </c>
      <c r="G170" s="4">
        <f>IF(RDG!H52=0,"",RDG!H52)</f>
      </c>
      <c r="H170" s="30">
        <f t="shared" si="6"/>
        <v>799750.25</v>
      </c>
      <c r="I170" s="4">
        <f t="shared" si="7"/>
        <v>0</v>
      </c>
      <c r="J170" s="31">
        <f>RDG!I52</f>
        <v>95977</v>
      </c>
      <c r="K170" s="31">
        <f>RDG!J52</f>
        <v>188624</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186952.59</v>
      </c>
      <c r="I172" s="4">
        <f t="shared" si="7"/>
        <v>0</v>
      </c>
      <c r="J172" s="31">
        <f>RDG!I54</f>
        <v>109329</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101205525.50999999</v>
      </c>
      <c r="I178" s="4">
        <f t="shared" si="7"/>
        <v>0</v>
      </c>
      <c r="J178" s="31">
        <f>RDG!I60</f>
        <v>19990725</v>
      </c>
      <c r="K178" s="31">
        <f>RDG!J60</f>
        <v>18593769</v>
      </c>
    </row>
    <row r="179" spans="4:11" ht="12.75">
      <c r="D179" s="4" t="s">
        <v>541</v>
      </c>
      <c r="E179" s="4">
        <v>2</v>
      </c>
      <c r="F179" s="4">
        <f>RDG!G61</f>
        <v>178</v>
      </c>
      <c r="G179" s="4">
        <f>IF(RDG!H61=0,"",RDG!H61)</f>
      </c>
      <c r="H179" s="30">
        <f t="shared" si="6"/>
        <v>211145723.54</v>
      </c>
      <c r="I179" s="4">
        <f t="shared" si="7"/>
        <v>0</v>
      </c>
      <c r="J179" s="31">
        <f>RDG!I61</f>
        <v>22582345</v>
      </c>
      <c r="K179" s="31">
        <f>RDG!J61</f>
        <v>48019424</v>
      </c>
    </row>
    <row r="180" spans="4:11" ht="12.75">
      <c r="D180" s="4" t="s">
        <v>541</v>
      </c>
      <c r="E180" s="4">
        <v>2</v>
      </c>
      <c r="F180" s="4">
        <f>RDG!G62</f>
        <v>179</v>
      </c>
      <c r="G180" s="4">
        <f>IF(RDG!H62=0,"",RDG!H62)</f>
      </c>
      <c r="H180" s="30">
        <f t="shared" si="6"/>
        <v>-109982844.69999999</v>
      </c>
      <c r="I180" s="4">
        <f t="shared" si="7"/>
        <v>0</v>
      </c>
      <c r="J180" s="31">
        <f>RDG!I62</f>
        <v>-2591620</v>
      </c>
      <c r="K180" s="31">
        <f>RDG!J62</f>
        <v>-29425655</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111211703.3</v>
      </c>
      <c r="I182" s="4">
        <f t="shared" si="7"/>
        <v>0</v>
      </c>
      <c r="J182" s="31">
        <f>RDG!I64</f>
        <v>2591620</v>
      </c>
      <c r="K182" s="31">
        <f>RDG!J64</f>
        <v>29425655</v>
      </c>
    </row>
    <row r="183" spans="4:11" ht="12.75">
      <c r="D183" s="4" t="s">
        <v>541</v>
      </c>
      <c r="E183" s="4">
        <v>2</v>
      </c>
      <c r="F183" s="4">
        <f>RDG!G65</f>
        <v>182</v>
      </c>
      <c r="G183" s="4">
        <f>IF(RDG!H65=0,"",RDG!H65)</f>
      </c>
      <c r="H183" s="30">
        <f t="shared" si="6"/>
        <v>-281661.38</v>
      </c>
      <c r="I183" s="4">
        <f t="shared" si="7"/>
        <v>0</v>
      </c>
      <c r="J183" s="31">
        <f>RDG!I65</f>
        <v>-154759</v>
      </c>
      <c r="K183" s="31">
        <f>RDG!J65</f>
        <v>0</v>
      </c>
    </row>
    <row r="184" spans="4:11" ht="12.75">
      <c r="D184" s="4" t="s">
        <v>541</v>
      </c>
      <c r="E184" s="4">
        <v>2</v>
      </c>
      <c r="F184" s="4">
        <f>RDG!G66</f>
        <v>183</v>
      </c>
      <c r="G184" s="4">
        <f>IF(RDG!H66=0,"",RDG!H66)</f>
      </c>
      <c r="H184" s="30">
        <f t="shared" si="6"/>
        <v>-112157352.92999999</v>
      </c>
      <c r="I184" s="4">
        <f t="shared" si="7"/>
        <v>0</v>
      </c>
      <c r="J184" s="31">
        <f>RDG!I66</f>
        <v>-2436861</v>
      </c>
      <c r="K184" s="31">
        <f>RDG!J66</f>
        <v>-29425655</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113383116.35</v>
      </c>
      <c r="I186" s="4">
        <f t="shared" si="7"/>
        <v>0</v>
      </c>
      <c r="J186" s="31">
        <f>RDG!I68</f>
        <v>2436861</v>
      </c>
      <c r="K186" s="31">
        <f>RDG!J68</f>
        <v>29425655</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-123802109.46</v>
      </c>
      <c r="I203" s="4">
        <f t="shared" si="9"/>
        <v>0</v>
      </c>
      <c r="J203" s="31">
        <f>RDG!I89</f>
        <v>-2436861</v>
      </c>
      <c r="K203" s="31">
        <f>RDG!J89</f>
        <v>-29425656</v>
      </c>
    </row>
    <row r="204" spans="4:11" ht="12.75">
      <c r="D204" s="4" t="s">
        <v>541</v>
      </c>
      <c r="E204" s="4">
        <v>2</v>
      </c>
      <c r="F204" s="4">
        <f>RDG!G90</f>
        <v>203</v>
      </c>
      <c r="G204" s="4">
        <f>IF(RDG!H90=0,"",RDG!H90)</f>
      </c>
      <c r="H204" s="30">
        <f t="shared" si="8"/>
        <v>4568628.68</v>
      </c>
      <c r="I204" s="4">
        <f t="shared" si="9"/>
        <v>0</v>
      </c>
      <c r="J204" s="31">
        <f>RDG!I90</f>
        <v>773794</v>
      </c>
      <c r="K204" s="31">
        <f>RDG!J90</f>
        <v>738381</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4613639.8</v>
      </c>
      <c r="I206" s="4">
        <f t="shared" si="9"/>
        <v>0</v>
      </c>
      <c r="J206" s="31">
        <f>RDG!I92</f>
        <v>773794</v>
      </c>
      <c r="K206" s="31">
        <f>RDG!J92</f>
        <v>738381</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891623.2399999999</v>
      </c>
      <c r="I213" s="4">
        <f t="shared" si="9"/>
        <v>0</v>
      </c>
      <c r="J213" s="31">
        <f>RDG!I99</f>
        <v>154759</v>
      </c>
      <c r="K213" s="31">
        <f>RDG!J99</f>
        <v>132909</v>
      </c>
    </row>
    <row r="214" spans="4:11" ht="12.75">
      <c r="D214" s="4" t="s">
        <v>541</v>
      </c>
      <c r="E214" s="4">
        <v>2</v>
      </c>
      <c r="F214" s="4">
        <f>RDG!G100</f>
        <v>213</v>
      </c>
      <c r="G214" s="4">
        <f>IF(RDG!H100=0,"",RDG!H100)</f>
      </c>
      <c r="H214" s="30">
        <f t="shared" si="8"/>
        <v>3897855.2700000005</v>
      </c>
      <c r="I214" s="4">
        <f t="shared" si="9"/>
        <v>0</v>
      </c>
      <c r="J214" s="31">
        <f>RDG!I100</f>
        <v>619035</v>
      </c>
      <c r="K214" s="31">
        <f>RDG!J100</f>
        <v>605472</v>
      </c>
    </row>
    <row r="215" spans="4:11" ht="12.75">
      <c r="D215" s="4" t="s">
        <v>541</v>
      </c>
      <c r="E215" s="4">
        <v>2</v>
      </c>
      <c r="F215" s="4">
        <f>RDG!G101</f>
        <v>214</v>
      </c>
      <c r="G215" s="4">
        <f>IF(RDG!H101=0,"",RDG!H101)</f>
      </c>
      <c r="H215" s="30">
        <f t="shared" si="8"/>
        <v>-127240535.16000001</v>
      </c>
      <c r="I215" s="4">
        <f t="shared" si="9"/>
        <v>0</v>
      </c>
      <c r="J215" s="31">
        <f>RDG!I101</f>
        <v>-1817826</v>
      </c>
      <c r="K215" s="31">
        <f>RDG!J101</f>
        <v>-28820184</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12022587.54</v>
      </c>
      <c r="I220" s="4">
        <f>ABS(ROUND(J220,0)-J220)+ABS(ROUND(K220,0)-K220)</f>
        <v>0</v>
      </c>
      <c r="J220" s="31">
        <f>Dodatni!I10</f>
        <v>555826</v>
      </c>
      <c r="K220" s="31">
        <f>Dodatni!J10</f>
        <v>2466970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66052.59999999999</v>
      </c>
      <c r="I224" s="4">
        <f t="shared" si="11"/>
        <v>0</v>
      </c>
      <c r="J224" s="31">
        <f>Dodatni!I14</f>
        <v>29620</v>
      </c>
      <c r="K224" s="31">
        <f>Dodatni!J14</f>
        <v>0</v>
      </c>
    </row>
    <row r="225" spans="4:11" ht="12.75">
      <c r="D225" s="4" t="s">
        <v>1522</v>
      </c>
      <c r="E225" s="4">
        <v>3</v>
      </c>
      <c r="F225" s="4">
        <f>Dodatni!H15</f>
        <v>224</v>
      </c>
      <c r="H225" s="30">
        <f t="shared" si="10"/>
        <v>88242.56</v>
      </c>
      <c r="I225" s="4">
        <f t="shared" si="11"/>
        <v>0</v>
      </c>
      <c r="J225" s="31">
        <f>Dodatni!I15</f>
        <v>33070</v>
      </c>
      <c r="K225" s="31">
        <f>Dodatni!J15</f>
        <v>3162</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89256519.1</v>
      </c>
      <c r="I227" s="4">
        <f t="shared" si="11"/>
        <v>0</v>
      </c>
      <c r="J227" s="31">
        <f>Dodatni!I18</f>
        <v>818435</v>
      </c>
      <c r="K227" s="31">
        <f>Dodatni!J18</f>
        <v>19337800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17771.199999999997</v>
      </c>
      <c r="I233" s="4">
        <f t="shared" si="11"/>
        <v>0</v>
      </c>
      <c r="J233" s="31">
        <f>Dodatni!I26</f>
        <v>6460</v>
      </c>
      <c r="K233" s="31">
        <f>Dodatni!J26</f>
        <v>600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123754042.26</v>
      </c>
      <c r="I240" s="4">
        <f t="shared" si="11"/>
        <v>0</v>
      </c>
      <c r="J240" s="31">
        <f>Dodatni!I33</f>
        <v>18266576</v>
      </c>
      <c r="K240" s="31">
        <f>Dodatni!J33</f>
        <v>16756679</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3297776.5199999996</v>
      </c>
      <c r="I242" s="4">
        <f t="shared" si="11"/>
        <v>0</v>
      </c>
      <c r="J242" s="31">
        <f>Dodatni!I35</f>
        <v>479582</v>
      </c>
      <c r="K242" s="31">
        <f>Dodatni!J35</f>
        <v>444395</v>
      </c>
    </row>
    <row r="243" spans="4:11" ht="12.75">
      <c r="D243" s="4" t="s">
        <v>1522</v>
      </c>
      <c r="E243" s="4">
        <v>3</v>
      </c>
      <c r="F243" s="4">
        <f>Dodatni!H37</f>
        <v>242</v>
      </c>
      <c r="H243" s="30">
        <f t="shared" si="10"/>
        <v>127294949.98000002</v>
      </c>
      <c r="I243" s="4">
        <f t="shared" si="11"/>
        <v>0</v>
      </c>
      <c r="J243" s="31">
        <f>Dodatni!I37</f>
        <v>18513173</v>
      </c>
      <c r="K243" s="31">
        <f>Dodatni!J37</f>
        <v>17044023</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3393562.5599999996</v>
      </c>
      <c r="I249" s="4">
        <f t="shared" si="11"/>
        <v>0</v>
      </c>
      <c r="J249" s="31">
        <f>Dodatni!I45</f>
        <v>479582</v>
      </c>
      <c r="K249" s="31">
        <f>Dodatni!J45</f>
        <v>444395</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10779924.96</v>
      </c>
      <c r="I253" s="4">
        <f t="shared" si="11"/>
        <v>0</v>
      </c>
      <c r="J253" s="31">
        <f>Dodatni!I50</f>
        <v>1598108</v>
      </c>
      <c r="K253" s="31">
        <f>Dodatni!J50</f>
        <v>1339820</v>
      </c>
    </row>
    <row r="254" spans="4:11" ht="12.75">
      <c r="D254" s="4" t="s">
        <v>1522</v>
      </c>
      <c r="E254" s="4">
        <v>3</v>
      </c>
      <c r="F254" s="4">
        <f>Dodatni!H51</f>
        <v>253</v>
      </c>
      <c r="H254" s="30">
        <f t="shared" si="10"/>
        <v>834259.9100000001</v>
      </c>
      <c r="I254" s="4">
        <f t="shared" si="11"/>
        <v>0</v>
      </c>
      <c r="J254" s="31">
        <f>Dodatni!I51</f>
        <v>107919</v>
      </c>
      <c r="K254" s="31">
        <f>Dodatni!J51</f>
        <v>110914</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182400.84</v>
      </c>
      <c r="I259" s="4">
        <f t="shared" si="11"/>
        <v>0</v>
      </c>
      <c r="J259" s="31">
        <f>Dodatni!I56</f>
        <v>70698</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951033.2000000001</v>
      </c>
      <c r="I261" s="4">
        <f t="shared" si="11"/>
        <v>0</v>
      </c>
      <c r="J261" s="31">
        <f>Dodatni!I58</f>
        <v>144844</v>
      </c>
      <c r="K261" s="31">
        <f>Dodatni!J58</f>
        <v>110469</v>
      </c>
    </row>
    <row r="262" spans="4:11" ht="12.75">
      <c r="D262" s="4" t="s">
        <v>1522</v>
      </c>
      <c r="E262" s="4">
        <v>3</v>
      </c>
      <c r="F262" s="4">
        <f>Dodatni!H59</f>
        <v>261</v>
      </c>
      <c r="H262" s="30">
        <f t="shared" si="10"/>
        <v>1338246.1800000002</v>
      </c>
      <c r="I262" s="4">
        <f t="shared" si="11"/>
        <v>0</v>
      </c>
      <c r="J262" s="31">
        <f>Dodatni!I59</f>
        <v>275660</v>
      </c>
      <c r="K262" s="31">
        <f>Dodatni!J59</f>
        <v>118539</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3565924.5599999996</v>
      </c>
      <c r="I265" s="4">
        <f t="shared" si="11"/>
        <v>0</v>
      </c>
      <c r="J265" s="31">
        <f>Dodatni!I62</f>
        <v>530323</v>
      </c>
      <c r="K265" s="31">
        <f>Dodatni!J62</f>
        <v>410203</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3022015.4699999997</v>
      </c>
      <c r="I268" s="4">
        <f t="shared" si="11"/>
        <v>0</v>
      </c>
      <c r="J268" s="31">
        <f>Dodatni!I65</f>
        <v>414937</v>
      </c>
      <c r="K268" s="31">
        <f>Dodatni!J65</f>
        <v>358452</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611830.8</v>
      </c>
      <c r="I271" s="4">
        <f t="shared" si="11"/>
        <v>0</v>
      </c>
      <c r="J271" s="31">
        <f>Dodatni!I68</f>
        <v>120358</v>
      </c>
      <c r="K271" s="31">
        <f>Dodatni!J68</f>
        <v>53123</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2093585.13</v>
      </c>
      <c r="I274" s="4">
        <f t="shared" si="11"/>
        <v>0</v>
      </c>
      <c r="J274" s="31">
        <f>Dodatni!I71</f>
        <v>423573</v>
      </c>
      <c r="K274" s="31">
        <f>Dodatni!J71</f>
        <v>171654</v>
      </c>
    </row>
    <row r="275" spans="4:11" ht="12.75">
      <c r="D275" s="4" t="s">
        <v>1522</v>
      </c>
      <c r="E275" s="4">
        <v>3</v>
      </c>
      <c r="F275" s="4">
        <f>Dodatni!H73</f>
        <v>274</v>
      </c>
      <c r="H275" s="30">
        <f aca="true" t="shared" si="12" ref="H275:H284">J275/100*F275+2*K275/100*F275</f>
        <v>84715.32</v>
      </c>
      <c r="I275" s="4">
        <f aca="true" t="shared" si="13" ref="I275:I284">ABS(ROUND(J275,0)-J275)+ABS(ROUND(K275,0)-K275)</f>
        <v>0</v>
      </c>
      <c r="J275" s="31">
        <f>Dodatni!I73</f>
        <v>16480</v>
      </c>
      <c r="K275" s="31">
        <f>Dodatni!J73</f>
        <v>7219</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4299624.47</v>
      </c>
      <c r="I278" s="4">
        <f t="shared" si="13"/>
        <v>0</v>
      </c>
      <c r="J278" s="31">
        <f>Dodatni!I76</f>
        <v>278013</v>
      </c>
      <c r="K278" s="31">
        <f>Dodatni!J76</f>
        <v>637099</v>
      </c>
    </row>
    <row r="279" spans="4:11" ht="12.75">
      <c r="D279" s="4" t="s">
        <v>1522</v>
      </c>
      <c r="E279" s="4">
        <v>3</v>
      </c>
      <c r="F279" s="4">
        <f>Dodatni!H78</f>
        <v>278</v>
      </c>
      <c r="H279" s="30">
        <f t="shared" si="12"/>
        <v>11677011.92</v>
      </c>
      <c r="I279" s="4">
        <f t="shared" si="13"/>
        <v>0</v>
      </c>
      <c r="J279" s="31">
        <f>Dodatni!I78</f>
        <v>1255902</v>
      </c>
      <c r="K279" s="31">
        <f>Dodatni!J78</f>
        <v>1472231</v>
      </c>
    </row>
    <row r="280" spans="4:11" ht="12.75">
      <c r="D280" s="4" t="s">
        <v>1522</v>
      </c>
      <c r="E280" s="4">
        <v>3</v>
      </c>
      <c r="F280" s="4">
        <f>Dodatni!H79</f>
        <v>279</v>
      </c>
      <c r="H280" s="30">
        <f t="shared" si="12"/>
        <v>2549655.4499999997</v>
      </c>
      <c r="I280" s="4">
        <f t="shared" si="13"/>
        <v>0</v>
      </c>
      <c r="J280" s="31">
        <f>Dodatni!I79</f>
        <v>913855</v>
      </c>
      <c r="K280" s="31">
        <f>Dodatni!J79</f>
        <v>0</v>
      </c>
    </row>
    <row r="281" spans="4:11" ht="12.75">
      <c r="D281" s="4" t="s">
        <v>1522</v>
      </c>
      <c r="E281" s="4">
        <v>3</v>
      </c>
      <c r="F281" s="4">
        <f>Dodatni!H80</f>
        <v>280</v>
      </c>
      <c r="H281" s="30">
        <f t="shared" si="12"/>
        <v>8911708.399999999</v>
      </c>
      <c r="I281" s="4">
        <f t="shared" si="13"/>
        <v>0</v>
      </c>
      <c r="J281" s="31">
        <f>Dodatni!I80</f>
        <v>324609</v>
      </c>
      <c r="K281" s="31">
        <f>Dodatni!J80</f>
        <v>1429072</v>
      </c>
    </row>
    <row r="282" spans="4:11" ht="12.75">
      <c r="D282" s="4" t="s">
        <v>1522</v>
      </c>
      <c r="E282" s="4">
        <v>3</v>
      </c>
      <c r="F282" s="4">
        <f>Dodatni!H81</f>
        <v>281</v>
      </c>
      <c r="H282" s="30">
        <f t="shared" si="12"/>
        <v>291554.36</v>
      </c>
      <c r="I282" s="4">
        <f t="shared" si="13"/>
        <v>0</v>
      </c>
      <c r="J282" s="31">
        <f>Dodatni!I81</f>
        <v>17438</v>
      </c>
      <c r="K282" s="31">
        <f>Dodatni!J81</f>
        <v>43159</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-614429.32</v>
      </c>
      <c r="I289" s="4">
        <f t="shared" si="15"/>
        <v>0</v>
      </c>
      <c r="J289" s="31">
        <f>NT_I!I9</f>
        <v>-2591620</v>
      </c>
      <c r="K289" s="31">
        <f>NT_I!J9</f>
        <v>-29425656</v>
      </c>
    </row>
    <row r="290" spans="4:11" ht="12.75">
      <c r="D290" s="4" t="s">
        <v>1523</v>
      </c>
      <c r="E290" s="4">
        <v>4</v>
      </c>
      <c r="F290" s="4">
        <f>NT_I!G10</f>
        <v>2</v>
      </c>
      <c r="G290" s="4">
        <f>IF(NT_I!H10&lt;&gt;"",NT_I!H10,"")</f>
      </c>
      <c r="H290" s="30">
        <f t="shared" si="14"/>
        <v>996219</v>
      </c>
      <c r="I290" s="4">
        <f t="shared" si="15"/>
        <v>0</v>
      </c>
      <c r="J290" s="31">
        <f>NT_I!I10</f>
        <v>2327820</v>
      </c>
      <c r="K290" s="31">
        <f>NT_I!J10</f>
        <v>23741565</v>
      </c>
    </row>
    <row r="291" spans="4:11" ht="12.75">
      <c r="D291" s="4" t="s">
        <v>1523</v>
      </c>
      <c r="E291" s="4">
        <v>4</v>
      </c>
      <c r="F291" s="4">
        <f>NT_I!G11</f>
        <v>3</v>
      </c>
      <c r="G291" s="4">
        <f>IF(NT_I!H11&lt;&gt;"",NT_I!H11,"")</f>
      </c>
      <c r="H291" s="30">
        <f t="shared" si="14"/>
        <v>163499.27999999997</v>
      </c>
      <c r="I291" s="4">
        <f t="shared" si="15"/>
        <v>0</v>
      </c>
      <c r="J291" s="31">
        <f>NT_I!I11</f>
        <v>1539338</v>
      </c>
      <c r="K291" s="31">
        <f>NT_I!J11</f>
        <v>1955319</v>
      </c>
    </row>
    <row r="292" spans="4:11" ht="12.75">
      <c r="D292" s="4" t="s">
        <v>1523</v>
      </c>
      <c r="E292" s="4">
        <v>4</v>
      </c>
      <c r="F292" s="4">
        <f>NT_I!G12</f>
        <v>4</v>
      </c>
      <c r="G292" s="4">
        <f>IF(NT_I!H12&lt;&gt;"",NT_I!H12,"")</f>
      </c>
      <c r="H292" s="30">
        <f aca="true" t="shared" si="16" ref="H292:H330">J292/100*F292+2*K292/100*F292</f>
        <v>57775.520000000004</v>
      </c>
      <c r="I292" s="4">
        <f aca="true" t="shared" si="17" ref="I292:I330">ABS(ROUND(J292,0)-J292)+ABS(ROUND(K292,0)-K292)</f>
        <v>0</v>
      </c>
      <c r="J292" s="31">
        <f>NT_I!I12</f>
        <v>608260</v>
      </c>
      <c r="K292" s="31">
        <f>NT_I!J12</f>
        <v>418064</v>
      </c>
    </row>
    <row r="293" spans="4:11" ht="12.75">
      <c r="D293" s="4" t="s">
        <v>1523</v>
      </c>
      <c r="E293" s="4">
        <v>4</v>
      </c>
      <c r="F293" s="4">
        <f>NT_I!G13</f>
        <v>5</v>
      </c>
      <c r="G293" s="4">
        <f>IF(NT_I!H13&lt;&gt;"",NT_I!H13,"")</f>
      </c>
      <c r="H293" s="30">
        <f t="shared" si="16"/>
        <v>-4133.849999999999</v>
      </c>
      <c r="I293" s="4">
        <f t="shared" si="17"/>
        <v>0</v>
      </c>
      <c r="J293" s="31">
        <f>NT_I!I13</f>
        <v>129329</v>
      </c>
      <c r="K293" s="31">
        <f>NT_I!J13</f>
        <v>-106003</v>
      </c>
    </row>
    <row r="294" spans="4:11" ht="12.75">
      <c r="D294" s="4" t="s">
        <v>1523</v>
      </c>
      <c r="E294" s="4">
        <v>4</v>
      </c>
      <c r="F294" s="4">
        <f>NT_I!G14</f>
        <v>6</v>
      </c>
      <c r="G294" s="4">
        <f>IF(NT_I!H14&lt;&gt;"",NT_I!H14,"")</f>
      </c>
      <c r="H294" s="30">
        <f t="shared" si="16"/>
        <v>-2923.32</v>
      </c>
      <c r="I294" s="4">
        <f t="shared" si="17"/>
        <v>0</v>
      </c>
      <c r="J294" s="31">
        <f>NT_I!I14</f>
        <v>-16480</v>
      </c>
      <c r="K294" s="31">
        <f>NT_I!J14</f>
        <v>-16121</v>
      </c>
    </row>
    <row r="295" spans="4:11" ht="12.75">
      <c r="D295" s="4" t="s">
        <v>1523</v>
      </c>
      <c r="E295" s="4">
        <v>4</v>
      </c>
      <c r="F295" s="4">
        <f>NT_I!G15</f>
        <v>7</v>
      </c>
      <c r="G295" s="4">
        <f>IF(NT_I!H15&lt;&gt;"",NT_I!H15,"")</f>
      </c>
      <c r="H295" s="30">
        <f t="shared" si="16"/>
        <v>108654.91</v>
      </c>
      <c r="I295" s="4">
        <f t="shared" si="17"/>
        <v>0</v>
      </c>
      <c r="J295" s="31">
        <f>NT_I!I15</f>
        <v>278013</v>
      </c>
      <c r="K295" s="31">
        <f>NT_I!J15</f>
        <v>637100</v>
      </c>
    </row>
    <row r="296" spans="4:11" ht="12.75">
      <c r="D296" s="4" t="s">
        <v>1523</v>
      </c>
      <c r="E296" s="4">
        <v>4</v>
      </c>
      <c r="F296" s="4">
        <f>NT_I!G16</f>
        <v>8</v>
      </c>
      <c r="G296" s="4">
        <f>IF(NT_I!H16&lt;&gt;"",NT_I!H16,"")</f>
      </c>
      <c r="H296" s="30">
        <f t="shared" si="16"/>
        <v>497869.44</v>
      </c>
      <c r="I296" s="4">
        <f t="shared" si="17"/>
        <v>0</v>
      </c>
      <c r="J296" s="31">
        <f>NT_I!I16</f>
        <v>0</v>
      </c>
      <c r="K296" s="31">
        <f>NT_I!J16</f>
        <v>3111684</v>
      </c>
    </row>
    <row r="297" spans="4:11" ht="12.75">
      <c r="D297" s="4" t="s">
        <v>1523</v>
      </c>
      <c r="E297" s="4">
        <v>4</v>
      </c>
      <c r="F297" s="4">
        <f>NT_I!G17</f>
        <v>9</v>
      </c>
      <c r="G297" s="4">
        <f>IF(NT_I!H17&lt;&gt;"",NT_I!H17,"")</f>
      </c>
      <c r="H297" s="30">
        <f t="shared" si="16"/>
        <v>-7501.23</v>
      </c>
      <c r="I297" s="4">
        <f t="shared" si="17"/>
        <v>0</v>
      </c>
      <c r="J297" s="31">
        <f>NT_I!I17</f>
        <v>-381215</v>
      </c>
      <c r="K297" s="31">
        <f>NT_I!J17</f>
        <v>148934</v>
      </c>
    </row>
    <row r="298" spans="4:11" ht="12.75">
      <c r="D298" s="4" t="s">
        <v>1523</v>
      </c>
      <c r="E298" s="4">
        <v>4</v>
      </c>
      <c r="F298" s="4">
        <f>NT_I!G18</f>
        <v>10</v>
      </c>
      <c r="G298" s="4">
        <f>IF(NT_I!H18&lt;&gt;"",NT_I!H18,"")</f>
      </c>
      <c r="H298" s="30">
        <f t="shared" si="16"/>
        <v>3535575.1</v>
      </c>
      <c r="I298" s="4">
        <f t="shared" si="17"/>
        <v>0</v>
      </c>
      <c r="J298" s="31">
        <f>NT_I!I18</f>
        <v>170575</v>
      </c>
      <c r="K298" s="31">
        <f>NT_I!J18</f>
        <v>17592588</v>
      </c>
    </row>
    <row r="299" spans="4:11" ht="12.75">
      <c r="D299" s="4" t="s">
        <v>1523</v>
      </c>
      <c r="E299" s="4">
        <v>4</v>
      </c>
      <c r="F299" s="4">
        <f>NT_I!G19</f>
        <v>11</v>
      </c>
      <c r="G299" s="4">
        <f>IF(NT_I!H19&lt;&gt;"",NT_I!H19,"")</f>
      </c>
      <c r="H299" s="30">
        <f t="shared" si="16"/>
        <v>-1279518.02</v>
      </c>
      <c r="I299" s="4">
        <f t="shared" si="17"/>
        <v>0</v>
      </c>
      <c r="J299" s="31">
        <f>NT_I!I19</f>
        <v>-263800</v>
      </c>
      <c r="K299" s="31">
        <f>NT_I!J19</f>
        <v>-5684091</v>
      </c>
    </row>
    <row r="300" spans="4:11" ht="12.75">
      <c r="D300" s="4" t="s">
        <v>1523</v>
      </c>
      <c r="E300" s="4">
        <v>4</v>
      </c>
      <c r="F300" s="4">
        <f>NT_I!G20</f>
        <v>12</v>
      </c>
      <c r="G300" s="4">
        <f>IF(NT_I!H20&lt;&gt;"",NT_I!H20,"")</f>
      </c>
      <c r="H300" s="30">
        <f t="shared" si="16"/>
        <v>-3018041.0399999996</v>
      </c>
      <c r="I300" s="4">
        <f t="shared" si="17"/>
        <v>0</v>
      </c>
      <c r="J300" s="31">
        <f>NT_I!I20</f>
        <v>1863680</v>
      </c>
      <c r="K300" s="31">
        <f>NT_I!J20</f>
        <v>-13507011</v>
      </c>
    </row>
    <row r="301" spans="4:11" ht="12.75">
      <c r="D301" s="4" t="s">
        <v>1523</v>
      </c>
      <c r="E301" s="4">
        <v>4</v>
      </c>
      <c r="F301" s="4">
        <f>NT_I!G21</f>
        <v>13</v>
      </c>
      <c r="G301" s="4">
        <f>IF(NT_I!H21&lt;&gt;"",NT_I!H21,"")</f>
      </c>
      <c r="H301" s="30">
        <f t="shared" si="16"/>
        <v>-2885857.65</v>
      </c>
      <c r="I301" s="4">
        <f t="shared" si="17"/>
        <v>0</v>
      </c>
      <c r="J301" s="31">
        <f>NT_I!I21</f>
        <v>4293093</v>
      </c>
      <c r="K301" s="31">
        <f>NT_I!J21</f>
        <v>-13245999</v>
      </c>
    </row>
    <row r="302" spans="4:11" ht="12.75">
      <c r="D302" s="4" t="s">
        <v>1523</v>
      </c>
      <c r="E302" s="4">
        <v>4</v>
      </c>
      <c r="F302" s="4">
        <f>NT_I!G22</f>
        <v>14</v>
      </c>
      <c r="G302" s="4">
        <f>IF(NT_I!H22&lt;&gt;"",NT_I!H22,"")</f>
      </c>
      <c r="H302" s="30">
        <f t="shared" si="16"/>
        <v>677615.5399999999</v>
      </c>
      <c r="I302" s="4">
        <f t="shared" si="17"/>
        <v>0</v>
      </c>
      <c r="J302" s="31">
        <f>NT_I!I22</f>
        <v>-62959</v>
      </c>
      <c r="K302" s="31">
        <f>NT_I!J22</f>
        <v>2451535</v>
      </c>
    </row>
    <row r="303" spans="4:11" ht="12.75">
      <c r="D303" s="4" t="s">
        <v>1523</v>
      </c>
      <c r="E303" s="4">
        <v>4</v>
      </c>
      <c r="F303" s="4">
        <f>NT_I!G23</f>
        <v>15</v>
      </c>
      <c r="G303" s="4">
        <f>IF(NT_I!H23&lt;&gt;"",NT_I!H23,"")</f>
      </c>
      <c r="H303" s="30">
        <f t="shared" si="16"/>
        <v>19555.05</v>
      </c>
      <c r="I303" s="4">
        <f t="shared" si="17"/>
        <v>0</v>
      </c>
      <c r="J303" s="31">
        <f>NT_I!I23</f>
        <v>11365</v>
      </c>
      <c r="K303" s="31">
        <f>NT_I!J23</f>
        <v>59501</v>
      </c>
    </row>
    <row r="304" spans="4:11" ht="12.75">
      <c r="D304" s="4" t="s">
        <v>1523</v>
      </c>
      <c r="E304" s="4">
        <v>4</v>
      </c>
      <c r="F304" s="4">
        <f>NT_I!G24</f>
        <v>16</v>
      </c>
      <c r="G304" s="4">
        <f>IF(NT_I!H24&lt;&gt;"",NT_I!H24,"")</f>
      </c>
      <c r="H304" s="30">
        <f t="shared" si="16"/>
        <v>-1267506.4</v>
      </c>
      <c r="I304" s="4">
        <f t="shared" si="17"/>
        <v>0</v>
      </c>
      <c r="J304" s="31">
        <f>NT_I!I24</f>
        <v>-2377819</v>
      </c>
      <c r="K304" s="31">
        <f>NT_I!J24</f>
        <v>-2772048</v>
      </c>
    </row>
    <row r="305" spans="4:11" ht="12.75">
      <c r="D305" s="4" t="s">
        <v>1523</v>
      </c>
      <c r="E305" s="4">
        <v>4</v>
      </c>
      <c r="F305" s="4">
        <f>NT_I!G25</f>
        <v>17</v>
      </c>
      <c r="G305" s="4">
        <f>IF(NT_I!H25&lt;&gt;"",NT_I!H25,"")</f>
      </c>
      <c r="H305" s="30">
        <f t="shared" si="16"/>
        <v>-6252995.08</v>
      </c>
      <c r="I305" s="4">
        <f t="shared" si="17"/>
        <v>0</v>
      </c>
      <c r="J305" s="31">
        <f>NT_I!I25</f>
        <v>1599880</v>
      </c>
      <c r="K305" s="31">
        <f>NT_I!J25</f>
        <v>-19191102</v>
      </c>
    </row>
    <row r="306" spans="4:11" ht="12.75">
      <c r="D306" s="4" t="s">
        <v>1523</v>
      </c>
      <c r="E306" s="4">
        <v>4</v>
      </c>
      <c r="F306" s="4">
        <f>NT_I!G26</f>
        <v>18</v>
      </c>
      <c r="G306" s="4">
        <f>IF(NT_I!H26&lt;&gt;"",NT_I!H26,"")</f>
      </c>
      <c r="H306" s="30">
        <f t="shared" si="16"/>
        <v>-160300.44</v>
      </c>
      <c r="I306" s="4">
        <f t="shared" si="17"/>
        <v>0</v>
      </c>
      <c r="J306" s="31">
        <f>NT_I!I26</f>
        <v>-234984</v>
      </c>
      <c r="K306" s="31">
        <f>NT_I!J26</f>
        <v>-327787</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-7534576.4</v>
      </c>
      <c r="I308" s="4">
        <f t="shared" si="17"/>
        <v>0</v>
      </c>
      <c r="J308" s="31">
        <f>NT_I!I28</f>
        <v>1364896</v>
      </c>
      <c r="K308" s="31">
        <f>NT_I!J28</f>
        <v>-19518889</v>
      </c>
    </row>
    <row r="309" spans="4:11" ht="12.75">
      <c r="D309" s="4" t="s">
        <v>1523</v>
      </c>
      <c r="E309" s="4">
        <v>4</v>
      </c>
      <c r="F309" s="4">
        <f>NT_I!G30</f>
        <v>21</v>
      </c>
      <c r="G309" s="4">
        <f>IF(NT_I!H30&lt;&gt;"",NT_I!H30,"")</f>
      </c>
      <c r="H309" s="30">
        <f t="shared" si="16"/>
        <v>636636.84</v>
      </c>
      <c r="I309" s="4">
        <f t="shared" si="17"/>
        <v>0</v>
      </c>
      <c r="J309" s="31">
        <f>NT_I!I30</f>
        <v>0</v>
      </c>
      <c r="K309" s="31">
        <f>NT_I!J30</f>
        <v>1515802</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8.51</v>
      </c>
      <c r="I311" s="4">
        <f t="shared" si="17"/>
        <v>0</v>
      </c>
      <c r="J311" s="31">
        <f>NT_I!I32</f>
        <v>35</v>
      </c>
      <c r="K311" s="31">
        <f>NT_I!J32</f>
        <v>1</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652157</v>
      </c>
      <c r="I313" s="4">
        <f t="shared" si="17"/>
        <v>0</v>
      </c>
      <c r="J313" s="31">
        <f>NT_I!I34</f>
        <v>0</v>
      </c>
      <c r="K313" s="31">
        <f>NT_I!J34</f>
        <v>1304314</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1522872.63</v>
      </c>
      <c r="I315" s="4">
        <f t="shared" si="17"/>
        <v>0</v>
      </c>
      <c r="J315" s="31">
        <f>NT_I!I36</f>
        <v>35</v>
      </c>
      <c r="K315" s="31">
        <f>NT_I!J36</f>
        <v>2820117</v>
      </c>
    </row>
    <row r="316" spans="4:11" ht="12.75">
      <c r="D316" s="4" t="s">
        <v>1523</v>
      </c>
      <c r="E316" s="4">
        <v>4</v>
      </c>
      <c r="F316" s="4">
        <f>NT_I!G37</f>
        <v>28</v>
      </c>
      <c r="G316" s="4">
        <f>IF(NT_I!H37&lt;&gt;"",NT_I!H37,"")</f>
      </c>
      <c r="H316" s="30">
        <f t="shared" si="16"/>
        <v>-499081.79999999993</v>
      </c>
      <c r="I316" s="4">
        <f t="shared" si="17"/>
        <v>0</v>
      </c>
      <c r="J316" s="31">
        <f>NT_I!I37</f>
        <v>-1474413</v>
      </c>
      <c r="K316" s="31">
        <f>NT_I!J37</f>
        <v>-154011</v>
      </c>
    </row>
    <row r="317" spans="4:11" ht="12.75">
      <c r="D317" s="4" t="s">
        <v>1523</v>
      </c>
      <c r="E317" s="4">
        <v>4</v>
      </c>
      <c r="F317" s="4">
        <f>NT_I!G38</f>
        <v>29</v>
      </c>
      <c r="G317" s="4">
        <f>IF(NT_I!H38&lt;&gt;"",NT_I!H38,"")</f>
      </c>
      <c r="H317" s="30">
        <f t="shared" si="16"/>
        <v>-5800</v>
      </c>
      <c r="I317" s="4">
        <f t="shared" si="17"/>
        <v>0</v>
      </c>
      <c r="J317" s="31">
        <f>NT_I!I38</f>
        <v>-20000</v>
      </c>
      <c r="K317" s="31">
        <f>NT_I!J38</f>
        <v>0</v>
      </c>
    </row>
    <row r="318" spans="4:11" ht="12.75">
      <c r="D318" s="4" t="s">
        <v>1523</v>
      </c>
      <c r="E318" s="4">
        <v>4</v>
      </c>
      <c r="F318" s="4">
        <f>NT_I!G39</f>
        <v>30</v>
      </c>
      <c r="G318" s="4">
        <f>IF(NT_I!H39&lt;&gt;"",NT_I!H39,"")</f>
      </c>
      <c r="H318" s="30">
        <f t="shared" si="16"/>
        <v>-1220875.2</v>
      </c>
      <c r="I318" s="4">
        <f t="shared" si="17"/>
        <v>0</v>
      </c>
      <c r="J318" s="31">
        <f>NT_I!I39</f>
        <v>-196694</v>
      </c>
      <c r="K318" s="31">
        <f>NT_I!J39</f>
        <v>-1936445</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-1937766.27</v>
      </c>
      <c r="I321" s="4">
        <f t="shared" si="17"/>
        <v>0</v>
      </c>
      <c r="J321" s="31">
        <f>NT_I!I42</f>
        <v>-1691107</v>
      </c>
      <c r="K321" s="31">
        <f>NT_I!J42</f>
        <v>-2090456</v>
      </c>
    </row>
    <row r="322" spans="4:11" ht="12.75">
      <c r="D322" s="4" t="s">
        <v>1523</v>
      </c>
      <c r="E322" s="4">
        <v>4</v>
      </c>
      <c r="F322" s="4">
        <f>NT_I!G43</f>
        <v>34</v>
      </c>
      <c r="G322" s="4">
        <f>IF(NT_I!H43&lt;&gt;"",NT_I!H43,"")</f>
      </c>
      <c r="H322" s="30">
        <f t="shared" si="16"/>
        <v>-78795</v>
      </c>
      <c r="I322" s="4">
        <f t="shared" si="17"/>
        <v>0</v>
      </c>
      <c r="J322" s="31">
        <f>NT_I!I43</f>
        <v>-1691072</v>
      </c>
      <c r="K322" s="31">
        <f>NT_I!J43</f>
        <v>729661</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14827311.18</v>
      </c>
      <c r="I325" s="4">
        <f t="shared" si="17"/>
        <v>0</v>
      </c>
      <c r="J325" s="31">
        <f>NT_I!I47</f>
        <v>566500</v>
      </c>
      <c r="K325" s="31">
        <f>NT_I!J47</f>
        <v>19753657</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15628787.46</v>
      </c>
      <c r="I327" s="4">
        <f t="shared" si="17"/>
        <v>0</v>
      </c>
      <c r="J327" s="31">
        <f>NT_I!I49</f>
        <v>566500</v>
      </c>
      <c r="K327" s="31">
        <f>NT_I!J49</f>
        <v>19753657</v>
      </c>
    </row>
    <row r="328" spans="4:11" ht="12.75">
      <c r="D328" s="4" t="s">
        <v>1523</v>
      </c>
      <c r="E328" s="4">
        <v>4</v>
      </c>
      <c r="F328" s="4">
        <f>NT_I!G50</f>
        <v>40</v>
      </c>
      <c r="G328" s="4">
        <f>IF(NT_I!H50&lt;&gt;"",NT_I!H50,"")</f>
      </c>
      <c r="H328" s="30">
        <f t="shared" si="16"/>
        <v>-836224.3999999999</v>
      </c>
      <c r="I328" s="4">
        <f t="shared" si="17"/>
        <v>0</v>
      </c>
      <c r="J328" s="31">
        <f>NT_I!I50</f>
        <v>-408693</v>
      </c>
      <c r="K328" s="31">
        <f>NT_I!J50</f>
        <v>-840934</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-86955.96</v>
      </c>
      <c r="I330" s="4">
        <f t="shared" si="17"/>
        <v>0</v>
      </c>
      <c r="J330" s="31">
        <f>NT_I!I52</f>
        <v>0</v>
      </c>
      <c r="K330" s="31">
        <f>NT_I!J52</f>
        <v>-103519</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-1033919.55</v>
      </c>
      <c r="I333" s="4">
        <f t="shared" si="19"/>
        <v>0</v>
      </c>
      <c r="J333" s="31">
        <f>NT_I!I55</f>
        <v>-408693</v>
      </c>
      <c r="K333" s="31">
        <f>NT_I!J55</f>
        <v>-944453</v>
      </c>
    </row>
    <row r="334" spans="4:11" ht="12.75">
      <c r="D334" s="4" t="s">
        <v>1523</v>
      </c>
      <c r="E334" s="4">
        <v>4</v>
      </c>
      <c r="F334" s="4">
        <f>NT_I!G56</f>
        <v>46</v>
      </c>
      <c r="G334" s="4">
        <f>IF(NT_I!H56&lt;&gt;"",NT_I!H56,"")</f>
      </c>
      <c r="H334" s="30">
        <f t="shared" si="18"/>
        <v>17377058.9</v>
      </c>
      <c r="I334" s="4">
        <f t="shared" si="19"/>
        <v>0</v>
      </c>
      <c r="J334" s="31">
        <f>NT_I!I56</f>
        <v>157807</v>
      </c>
      <c r="K334" s="31">
        <f>NT_I!J56</f>
        <v>18809204</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-61640.159999999996</v>
      </c>
      <c r="I336" s="4">
        <f t="shared" si="19"/>
        <v>0</v>
      </c>
      <c r="J336" s="31">
        <f>NT_I!I58</f>
        <v>-168369</v>
      </c>
      <c r="K336" s="31">
        <f>NT_I!J58</f>
        <v>19976</v>
      </c>
    </row>
    <row r="337" spans="4:11" ht="12.75">
      <c r="D337" s="4" t="s">
        <v>1523</v>
      </c>
      <c r="E337" s="4">
        <v>4</v>
      </c>
      <c r="F337" s="4">
        <f>NT_I!G59</f>
        <v>49</v>
      </c>
      <c r="G337" s="4">
        <f>IF(NT_I!H59&lt;&gt;"",NT_I!H59,"")</f>
      </c>
      <c r="H337" s="30">
        <f t="shared" si="18"/>
        <v>377695.92000000004</v>
      </c>
      <c r="I337" s="4">
        <f t="shared" si="19"/>
        <v>0</v>
      </c>
      <c r="J337" s="31">
        <f>NT_I!I59</f>
        <v>369182</v>
      </c>
      <c r="K337" s="31">
        <f>NT_I!J59</f>
        <v>200813</v>
      </c>
    </row>
    <row r="338" spans="4:11" ht="12.75">
      <c r="D338" s="4" t="s">
        <v>1523</v>
      </c>
      <c r="E338" s="4">
        <v>4</v>
      </c>
      <c r="F338" s="4">
        <f>NT_I!G60</f>
        <v>50</v>
      </c>
      <c r="G338" s="4">
        <f>IF(NT_I!H60&lt;&gt;"",NT_I!H60,"")</f>
      </c>
      <c r="H338" s="30">
        <f t="shared" si="18"/>
        <v>321195.5</v>
      </c>
      <c r="I338" s="4">
        <f t="shared" si="19"/>
        <v>0</v>
      </c>
      <c r="J338" s="31">
        <f>NT_I!I60</f>
        <v>200813</v>
      </c>
      <c r="K338" s="31">
        <f>NT_I!J60</f>
        <v>220789</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51396989.92</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157743374</v>
      </c>
      <c r="K381" s="31">
        <f>PK!J10</f>
        <v>0</v>
      </c>
      <c r="L381" s="31">
        <f>PK!K10</f>
        <v>0</v>
      </c>
      <c r="M381" s="31">
        <f>PK!L10</f>
        <v>0</v>
      </c>
      <c r="N381" s="31">
        <f>PK!M10</f>
        <v>11164</v>
      </c>
      <c r="O381" s="31">
        <f>PK!N10</f>
        <v>0</v>
      </c>
      <c r="P381" s="31">
        <f>PK!O10</f>
        <v>0</v>
      </c>
      <c r="Q381" s="31">
        <f>PK!P10</f>
        <v>147995627</v>
      </c>
      <c r="R381" s="31">
        <f>PK!Q10</f>
        <v>0</v>
      </c>
      <c r="S381" s="31">
        <f>PK!R10</f>
        <v>0</v>
      </c>
      <c r="T381" s="31">
        <f>PK!S10</f>
        <v>0</v>
      </c>
      <c r="U381" s="31">
        <f>PK!T10</f>
        <v>-127822134</v>
      </c>
      <c r="V381" s="31">
        <f>PK!U10</f>
        <v>-124900</v>
      </c>
      <c r="W381" s="31">
        <f>PK!V10</f>
        <v>177780803</v>
      </c>
      <c r="X381" s="31">
        <f>PK!W10</f>
        <v>0</v>
      </c>
      <c r="Y381" s="31">
        <f>PK!X10</f>
        <v>177780803</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56129291.14</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157743374</v>
      </c>
      <c r="K384" s="31">
        <f>PK!J13</f>
        <v>0</v>
      </c>
      <c r="L384" s="31">
        <f>PK!K13</f>
        <v>0</v>
      </c>
      <c r="M384" s="31">
        <f>PK!L13</f>
        <v>0</v>
      </c>
      <c r="N384" s="31">
        <f>PK!M13</f>
        <v>11164</v>
      </c>
      <c r="O384" s="31">
        <f>PK!N13</f>
        <v>0</v>
      </c>
      <c r="P384" s="31">
        <f>PK!O13</f>
        <v>0</v>
      </c>
      <c r="Q384" s="31">
        <f>PK!P13</f>
        <v>147995627</v>
      </c>
      <c r="R384" s="31">
        <f>PK!Q13</f>
        <v>0</v>
      </c>
      <c r="S384" s="31">
        <f>PK!R13</f>
        <v>0</v>
      </c>
      <c r="T384" s="31">
        <f>PK!S13</f>
        <v>0</v>
      </c>
      <c r="U384" s="31">
        <f>PK!T13</f>
        <v>-127822134</v>
      </c>
      <c r="V384" s="31">
        <f>PK!U13</f>
        <v>-124900</v>
      </c>
      <c r="W384" s="31">
        <f>PK!V13</f>
        <v>177780803</v>
      </c>
      <c r="X384" s="31">
        <f>PK!W13</f>
        <v>0</v>
      </c>
      <c r="Y384" s="31">
        <f>PK!X13</f>
        <v>177780803</v>
      </c>
    </row>
    <row r="385" spans="4:25" ht="12.75">
      <c r="D385" s="4" t="s">
        <v>542</v>
      </c>
      <c r="E385" s="4">
        <v>6</v>
      </c>
      <c r="F385" s="4">
        <f>PK!G14</f>
        <v>5</v>
      </c>
      <c r="G385" s="4">
        <f>IF(PK!H14&lt;&gt;"",PK!H14,"")</f>
      </c>
      <c r="H385" s="30">
        <f t="shared" si="22"/>
        <v>53707</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124900</v>
      </c>
      <c r="W385" s="31">
        <f>PK!V14</f>
        <v>124900</v>
      </c>
      <c r="X385" s="31">
        <f>PK!W14</f>
        <v>0</v>
      </c>
      <c r="Y385" s="31">
        <f>PK!X14</f>
        <v>124900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-235233.30000000002</v>
      </c>
      <c r="I387" s="31">
        <f t="shared" si="23"/>
        <v>0</v>
      </c>
      <c r="J387" s="31">
        <f>PK!I16</f>
        <v>0</v>
      </c>
      <c r="K387" s="31">
        <f>PK!J16</f>
        <v>0</v>
      </c>
      <c r="L387" s="31">
        <f>PK!K16</f>
        <v>0</v>
      </c>
      <c r="M387" s="31">
        <f>PK!L16</f>
        <v>0</v>
      </c>
      <c r="N387" s="31">
        <f>PK!M16</f>
        <v>0</v>
      </c>
      <c r="O387" s="31">
        <f>PK!N16</f>
        <v>0</v>
      </c>
      <c r="P387" s="31">
        <f>PK!O16</f>
        <v>0</v>
      </c>
      <c r="Q387" s="31">
        <f>PK!P16</f>
        <v>-619035</v>
      </c>
      <c r="R387" s="31">
        <f>PK!Q16</f>
        <v>0</v>
      </c>
      <c r="S387" s="31">
        <f>PK!R16</f>
        <v>0</v>
      </c>
      <c r="T387" s="31">
        <f>PK!S16</f>
        <v>0</v>
      </c>
      <c r="U387" s="31">
        <f>PK!T16</f>
        <v>0</v>
      </c>
      <c r="V387" s="31">
        <f>PK!U16</f>
        <v>0</v>
      </c>
      <c r="W387" s="31">
        <f>PK!V16</f>
        <v>-619035</v>
      </c>
      <c r="X387" s="31">
        <f>PK!W16</f>
        <v>0</v>
      </c>
      <c r="Y387" s="31">
        <f>PK!X16</f>
        <v>-619035</v>
      </c>
    </row>
    <row r="388" spans="4:25" ht="12.75">
      <c r="D388" s="4" t="s">
        <v>542</v>
      </c>
      <c r="E388" s="4">
        <v>6</v>
      </c>
      <c r="F388" s="4">
        <f>PK!G17</f>
        <v>8</v>
      </c>
      <c r="G388" s="4">
        <f>IF(PK!H17&lt;&gt;"",PK!H17,"")</f>
      </c>
      <c r="H388" s="30">
        <f t="shared" si="22"/>
        <v>-52495.8</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-124990</v>
      </c>
      <c r="V388" s="31">
        <f>PK!U17</f>
        <v>0</v>
      </c>
      <c r="W388" s="31">
        <f>PK!V17</f>
        <v>-124990</v>
      </c>
      <c r="X388" s="31">
        <f>PK!W17</f>
        <v>0</v>
      </c>
      <c r="Y388" s="31">
        <f>PK!X17</f>
        <v>-124990</v>
      </c>
    </row>
    <row r="389" spans="4:25" ht="12.75">
      <c r="D389" s="4" t="s">
        <v>542</v>
      </c>
      <c r="E389" s="4">
        <v>6</v>
      </c>
      <c r="F389" s="4">
        <f>PK!G18</f>
        <v>9</v>
      </c>
      <c r="G389" s="4">
        <f>IF(PK!H18&lt;&gt;"",PK!H18,"")</f>
      </c>
      <c r="H389" s="30">
        <f t="shared" si="22"/>
        <v>-787855.96</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619035</v>
      </c>
      <c r="V389" s="31">
        <f>PK!U18</f>
        <v>-2436862</v>
      </c>
      <c r="W389" s="31">
        <f>PK!V18</f>
        <v>-1817827</v>
      </c>
      <c r="X389" s="31">
        <f>PK!W18</f>
        <v>0</v>
      </c>
      <c r="Y389" s="31">
        <f>PK!X18</f>
        <v>-1817827</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85078654.14</v>
      </c>
      <c r="I403" s="31">
        <f t="shared" si="23"/>
        <v>0</v>
      </c>
      <c r="J403" s="31">
        <f>PK!I32</f>
        <v>157743374</v>
      </c>
      <c r="K403" s="31">
        <f>PK!J32</f>
        <v>0</v>
      </c>
      <c r="L403" s="31">
        <f>PK!K32</f>
        <v>0</v>
      </c>
      <c r="M403" s="31">
        <f>PK!L32</f>
        <v>0</v>
      </c>
      <c r="N403" s="31">
        <f>PK!M32</f>
        <v>11164</v>
      </c>
      <c r="O403" s="31">
        <f>PK!N32</f>
        <v>0</v>
      </c>
      <c r="P403" s="31">
        <f>PK!O32</f>
        <v>0</v>
      </c>
      <c r="Q403" s="31">
        <f>PK!P32</f>
        <v>147376592</v>
      </c>
      <c r="R403" s="31">
        <f>PK!Q32</f>
        <v>0</v>
      </c>
      <c r="S403" s="31">
        <f>PK!R32</f>
        <v>0</v>
      </c>
      <c r="T403" s="31">
        <f>PK!S32</f>
        <v>0</v>
      </c>
      <c r="U403" s="31">
        <f>PK!T32</f>
        <v>-127328089</v>
      </c>
      <c r="V403" s="31">
        <f>PK!U32</f>
        <v>-2436862</v>
      </c>
      <c r="W403" s="31">
        <f>PK!V32</f>
        <v>175343851</v>
      </c>
      <c r="X403" s="31">
        <f>PK!W32</f>
        <v>0</v>
      </c>
      <c r="Y403" s="31">
        <f>PK!X32</f>
        <v>175343851</v>
      </c>
    </row>
    <row r="404" spans="4:25" ht="12.75">
      <c r="D404" s="4" t="s">
        <v>542</v>
      </c>
      <c r="E404" s="4">
        <v>6</v>
      </c>
      <c r="F404" s="4">
        <f>PK!G34</f>
        <v>24</v>
      </c>
      <c r="G404" s="4">
        <f>IF(PK!H34&lt;&gt;"",PK!H34,"")</f>
      </c>
      <c r="H404" s="30">
        <f t="shared" si="22"/>
        <v>-1075585.06</v>
      </c>
      <c r="I404" s="31">
        <f t="shared" si="23"/>
        <v>0</v>
      </c>
      <c r="J404" s="31">
        <f>PK!I34</f>
        <v>0</v>
      </c>
      <c r="K404" s="31">
        <f>PK!J34</f>
        <v>0</v>
      </c>
      <c r="L404" s="31">
        <f>PK!K34</f>
        <v>0</v>
      </c>
      <c r="M404" s="31">
        <f>PK!L34</f>
        <v>0</v>
      </c>
      <c r="N404" s="31">
        <f>PK!M34</f>
        <v>0</v>
      </c>
      <c r="O404" s="31">
        <f>PK!N34</f>
        <v>0</v>
      </c>
      <c r="P404" s="31">
        <f>PK!O34</f>
        <v>0</v>
      </c>
      <c r="Q404" s="31">
        <f>PK!P34</f>
        <v>-619035</v>
      </c>
      <c r="R404" s="31">
        <f>PK!Q34</f>
        <v>0</v>
      </c>
      <c r="S404" s="31">
        <f>PK!R34</f>
        <v>0</v>
      </c>
      <c r="T404" s="31">
        <f>PK!S34</f>
        <v>0</v>
      </c>
      <c r="U404" s="31">
        <f>PK!T34</f>
        <v>494045</v>
      </c>
      <c r="V404" s="31">
        <f>PK!U34</f>
        <v>-2436862</v>
      </c>
      <c r="W404" s="31">
        <f>PK!V34</f>
        <v>-2561852</v>
      </c>
      <c r="X404" s="31">
        <f>PK!W34</f>
        <v>0</v>
      </c>
      <c r="Y404" s="31">
        <f>PK!X34</f>
        <v>-2561852</v>
      </c>
    </row>
    <row r="405" spans="4:25" ht="12.75">
      <c r="D405" s="4" t="s">
        <v>542</v>
      </c>
      <c r="E405" s="4">
        <v>6</v>
      </c>
      <c r="F405" s="4">
        <f>PK!G35</f>
        <v>25</v>
      </c>
      <c r="G405" s="4">
        <f>IF(PK!H35&lt;&gt;"",PK!H35,"")</f>
      </c>
      <c r="H405" s="30">
        <f t="shared" si="22"/>
        <v>-1021878.06</v>
      </c>
      <c r="I405" s="31">
        <f t="shared" si="23"/>
        <v>0</v>
      </c>
      <c r="J405" s="31">
        <f>PK!I35</f>
        <v>0</v>
      </c>
      <c r="K405" s="31">
        <f>PK!J35</f>
        <v>0</v>
      </c>
      <c r="L405" s="31">
        <f>PK!K35</f>
        <v>0</v>
      </c>
      <c r="M405" s="31">
        <f>PK!L35</f>
        <v>0</v>
      </c>
      <c r="N405" s="31">
        <f>PK!M35</f>
        <v>0</v>
      </c>
      <c r="O405" s="31">
        <f>PK!N35</f>
        <v>0</v>
      </c>
      <c r="P405" s="31">
        <f>PK!O35</f>
        <v>0</v>
      </c>
      <c r="Q405" s="31">
        <f>PK!P35</f>
        <v>-619035</v>
      </c>
      <c r="R405" s="31">
        <f>PK!Q35</f>
        <v>0</v>
      </c>
      <c r="S405" s="31">
        <f>PK!R35</f>
        <v>0</v>
      </c>
      <c r="T405" s="31">
        <f>PK!S35</f>
        <v>0</v>
      </c>
      <c r="U405" s="31">
        <f>PK!T35</f>
        <v>494045</v>
      </c>
      <c r="V405" s="31">
        <f>PK!U35</f>
        <v>-2311962</v>
      </c>
      <c r="W405" s="31">
        <f>PK!V35</f>
        <v>-2436952</v>
      </c>
      <c r="X405" s="31">
        <f>PK!W35</f>
        <v>0</v>
      </c>
      <c r="Y405" s="31">
        <f>PK!X35</f>
        <v>-2436952</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91388389.1</v>
      </c>
      <c r="I407" s="31">
        <f t="shared" si="23"/>
        <v>0</v>
      </c>
      <c r="J407" s="31">
        <f>PK!I38</f>
        <v>157743374</v>
      </c>
      <c r="K407" s="31">
        <f>PK!J38</f>
        <v>0</v>
      </c>
      <c r="L407" s="31">
        <f>PK!K38</f>
        <v>0</v>
      </c>
      <c r="M407" s="31">
        <f>PK!L38</f>
        <v>0</v>
      </c>
      <c r="N407" s="31">
        <f>PK!M38</f>
        <v>11164</v>
      </c>
      <c r="O407" s="31">
        <f>PK!N38</f>
        <v>0</v>
      </c>
      <c r="P407" s="31">
        <f>PK!O38</f>
        <v>0</v>
      </c>
      <c r="Q407" s="31">
        <f>PK!P38</f>
        <v>147376592</v>
      </c>
      <c r="R407" s="31">
        <f>PK!Q38</f>
        <v>0</v>
      </c>
      <c r="S407" s="31">
        <f>PK!R38</f>
        <v>0</v>
      </c>
      <c r="T407" s="31">
        <f>PK!S38</f>
        <v>0</v>
      </c>
      <c r="U407" s="31">
        <f>PK!T38</f>
        <v>-127328089</v>
      </c>
      <c r="V407" s="31">
        <f>PK!U38</f>
        <v>-2436862</v>
      </c>
      <c r="W407" s="31">
        <f>PK!V38</f>
        <v>175343851</v>
      </c>
      <c r="X407" s="31">
        <f>PK!W38</f>
        <v>0</v>
      </c>
      <c r="Y407" s="31">
        <f>PK!X38</f>
        <v>175343851</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96120690.32</v>
      </c>
      <c r="I410" s="31">
        <f t="shared" si="23"/>
        <v>0</v>
      </c>
      <c r="J410" s="31">
        <f>PK!I41</f>
        <v>157743374</v>
      </c>
      <c r="K410" s="31">
        <f>PK!J41</f>
        <v>0</v>
      </c>
      <c r="L410" s="31">
        <f>PK!K41</f>
        <v>0</v>
      </c>
      <c r="M410" s="31">
        <f>PK!L41</f>
        <v>0</v>
      </c>
      <c r="N410" s="31">
        <f>PK!M41</f>
        <v>11164</v>
      </c>
      <c r="O410" s="31">
        <f>PK!N41</f>
        <v>0</v>
      </c>
      <c r="P410" s="31">
        <f>PK!O41</f>
        <v>0</v>
      </c>
      <c r="Q410" s="31">
        <f>PK!P41</f>
        <v>147376592</v>
      </c>
      <c r="R410" s="31">
        <f>PK!Q41</f>
        <v>0</v>
      </c>
      <c r="S410" s="31">
        <f>PK!R41</f>
        <v>0</v>
      </c>
      <c r="T410" s="31">
        <f>PK!S41</f>
        <v>0</v>
      </c>
      <c r="U410" s="31">
        <f>PK!T41</f>
        <v>-127328089</v>
      </c>
      <c r="V410" s="31">
        <f>PK!U41</f>
        <v>-2436862</v>
      </c>
      <c r="W410" s="31">
        <f>PK!V41</f>
        <v>175343851</v>
      </c>
      <c r="X410" s="31">
        <f>PK!W41</f>
        <v>0</v>
      </c>
      <c r="Y410" s="31">
        <f>PK!X41</f>
        <v>175343851</v>
      </c>
    </row>
    <row r="411" spans="4:25" ht="12.75">
      <c r="D411" s="4" t="s">
        <v>542</v>
      </c>
      <c r="E411" s="4">
        <v>6</v>
      </c>
      <c r="F411" s="4">
        <f>PK!G42</f>
        <v>31</v>
      </c>
      <c r="G411" s="4">
        <f>IF(PK!H42&lt;&gt;"",PK!H42,"")</f>
      </c>
      <c r="H411" s="30">
        <f t="shared" si="22"/>
        <v>-12653032.079999998</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-29425656</v>
      </c>
      <c r="W411" s="31">
        <f>PK!V42</f>
        <v>-29425656</v>
      </c>
      <c r="X411" s="31">
        <f>PK!W42</f>
        <v>0</v>
      </c>
      <c r="Y411" s="31">
        <f>PK!X42</f>
        <v>-29425656</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-51759451.760000005</v>
      </c>
      <c r="I413" s="31">
        <f t="shared" si="23"/>
        <v>0</v>
      </c>
      <c r="J413" s="31">
        <f>PK!I44</f>
        <v>0</v>
      </c>
      <c r="K413" s="31">
        <f>PK!J44</f>
        <v>0</v>
      </c>
      <c r="L413" s="31">
        <f>PK!K44</f>
        <v>0</v>
      </c>
      <c r="M413" s="31">
        <f>PK!L44</f>
        <v>0</v>
      </c>
      <c r="N413" s="31">
        <f>PK!M44</f>
        <v>0</v>
      </c>
      <c r="O413" s="31">
        <f>PK!N44</f>
        <v>0</v>
      </c>
      <c r="P413" s="31">
        <f>PK!O44</f>
        <v>0</v>
      </c>
      <c r="Q413" s="31">
        <f>PK!P44</f>
        <v>-137025190</v>
      </c>
      <c r="R413" s="31">
        <f>PK!Q44</f>
        <v>0</v>
      </c>
      <c r="S413" s="31">
        <f>PK!R44</f>
        <v>0</v>
      </c>
      <c r="T413" s="31">
        <f>PK!S44</f>
        <v>0</v>
      </c>
      <c r="U413" s="31">
        <f>PK!T44</f>
        <v>738382</v>
      </c>
      <c r="V413" s="31">
        <f>PK!U44</f>
        <v>0</v>
      </c>
      <c r="W413" s="31">
        <f>PK!V44</f>
        <v>-136286808</v>
      </c>
      <c r="X413" s="31">
        <f>PK!W44</f>
        <v>0</v>
      </c>
      <c r="Y413" s="31">
        <f>PK!X44</f>
        <v>-136286808</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24368.619999999995</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-2436862</v>
      </c>
      <c r="V427" s="31">
        <f>PK!U58</f>
        <v>2436862</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61703816.160000004</v>
      </c>
      <c r="I429" s="31">
        <f t="shared" si="23"/>
        <v>0</v>
      </c>
      <c r="J429" s="31">
        <f>PK!I60</f>
        <v>157743374</v>
      </c>
      <c r="K429" s="31">
        <f>PK!J60</f>
        <v>0</v>
      </c>
      <c r="L429" s="31">
        <f>PK!K60</f>
        <v>0</v>
      </c>
      <c r="M429" s="31">
        <f>PK!L60</f>
        <v>0</v>
      </c>
      <c r="N429" s="31">
        <f>PK!M60</f>
        <v>11164</v>
      </c>
      <c r="O429" s="31">
        <f>PK!N60</f>
        <v>0</v>
      </c>
      <c r="P429" s="31">
        <f>PK!O60</f>
        <v>0</v>
      </c>
      <c r="Q429" s="31">
        <f>PK!P60</f>
        <v>10351402</v>
      </c>
      <c r="R429" s="31">
        <f>PK!Q60</f>
        <v>0</v>
      </c>
      <c r="S429" s="31">
        <f>PK!R60</f>
        <v>0</v>
      </c>
      <c r="T429" s="31">
        <f>PK!S60</f>
        <v>0</v>
      </c>
      <c r="U429" s="31">
        <f>PK!T60</f>
        <v>-129026569</v>
      </c>
      <c r="V429" s="31">
        <f>PK!U60</f>
        <v>-29425656</v>
      </c>
      <c r="W429" s="31">
        <f>PK!V60</f>
        <v>9631387</v>
      </c>
      <c r="X429" s="31">
        <f>PK!W60</f>
        <v>0</v>
      </c>
      <c r="Y429" s="31">
        <f>PK!X60</f>
        <v>9631387</v>
      </c>
    </row>
    <row r="430" spans="4:25" ht="12.75">
      <c r="D430" s="4" t="s">
        <v>542</v>
      </c>
      <c r="E430" s="4">
        <v>6</v>
      </c>
      <c r="F430" s="4">
        <f>PK!G62</f>
        <v>50</v>
      </c>
      <c r="G430" s="4">
        <f>IF(PK!H62&lt;&gt;"",PK!H62,"")</f>
      </c>
      <c r="H430" s="30">
        <f t="shared" si="22"/>
        <v>-51759451.760000005</v>
      </c>
      <c r="I430" s="31">
        <f t="shared" si="23"/>
        <v>0</v>
      </c>
      <c r="J430" s="31">
        <f>PK!I62</f>
        <v>0</v>
      </c>
      <c r="K430" s="31">
        <f>PK!J62</f>
        <v>0</v>
      </c>
      <c r="L430" s="31">
        <f>PK!K62</f>
        <v>0</v>
      </c>
      <c r="M430" s="31">
        <f>PK!L62</f>
        <v>0</v>
      </c>
      <c r="N430" s="31">
        <f>PK!M62</f>
        <v>0</v>
      </c>
      <c r="O430" s="31">
        <f>PK!N62</f>
        <v>0</v>
      </c>
      <c r="P430" s="31">
        <f>PK!O62</f>
        <v>0</v>
      </c>
      <c r="Q430" s="31">
        <f>PK!P62</f>
        <v>-137025190</v>
      </c>
      <c r="R430" s="31">
        <f>PK!Q62</f>
        <v>0</v>
      </c>
      <c r="S430" s="31">
        <f>PK!R62</f>
        <v>0</v>
      </c>
      <c r="T430" s="31">
        <f>PK!S62</f>
        <v>0</v>
      </c>
      <c r="U430" s="31">
        <f>PK!T62</f>
        <v>738382</v>
      </c>
      <c r="V430" s="31">
        <f>PK!U62</f>
        <v>0</v>
      </c>
      <c r="W430" s="31">
        <f>PK!V62</f>
        <v>-136286808</v>
      </c>
      <c r="X430" s="31">
        <f>PK!W62</f>
        <v>0</v>
      </c>
      <c r="Y430" s="31">
        <f>PK!X62</f>
        <v>-136286808</v>
      </c>
    </row>
    <row r="431" spans="4:25" ht="12.75">
      <c r="D431" s="4" t="s">
        <v>542</v>
      </c>
      <c r="E431" s="4">
        <v>6</v>
      </c>
      <c r="F431" s="4">
        <f>PK!G63</f>
        <v>51</v>
      </c>
      <c r="G431" s="4">
        <f>IF(PK!H63&lt;&gt;"",PK!H63,"")</f>
      </c>
      <c r="H431" s="30">
        <f t="shared" si="22"/>
        <v>-64412483.84</v>
      </c>
      <c r="I431" s="31">
        <f t="shared" si="23"/>
        <v>0</v>
      </c>
      <c r="J431" s="31">
        <f>PK!I63</f>
        <v>0</v>
      </c>
      <c r="K431" s="31">
        <f>PK!J63</f>
        <v>0</v>
      </c>
      <c r="L431" s="31">
        <f>PK!K63</f>
        <v>0</v>
      </c>
      <c r="M431" s="31">
        <f>PK!L63</f>
        <v>0</v>
      </c>
      <c r="N431" s="31">
        <f>PK!M63</f>
        <v>0</v>
      </c>
      <c r="O431" s="31">
        <f>PK!N63</f>
        <v>0</v>
      </c>
      <c r="P431" s="31">
        <f>PK!O63</f>
        <v>0</v>
      </c>
      <c r="Q431" s="31">
        <f>PK!P63</f>
        <v>-137025190</v>
      </c>
      <c r="R431" s="31">
        <f>PK!Q63</f>
        <v>0</v>
      </c>
      <c r="S431" s="31">
        <f>PK!R63</f>
        <v>0</v>
      </c>
      <c r="T431" s="31">
        <f>PK!S63</f>
        <v>0</v>
      </c>
      <c r="U431" s="31">
        <f>PK!T63</f>
        <v>738382</v>
      </c>
      <c r="V431" s="31">
        <f>PK!U63</f>
        <v>-29425656</v>
      </c>
      <c r="W431" s="31">
        <f>PK!V63</f>
        <v>-165712464</v>
      </c>
      <c r="X431" s="31">
        <f>PK!W63</f>
        <v>0</v>
      </c>
      <c r="Y431" s="31">
        <f>PK!X63</f>
        <v>-165712464</v>
      </c>
    </row>
    <row r="432" spans="4:25" ht="12.75">
      <c r="D432" s="4" t="s">
        <v>542</v>
      </c>
      <c r="E432" s="4">
        <v>6</v>
      </c>
      <c r="F432" s="4">
        <f>PK!G64</f>
        <v>52</v>
      </c>
      <c r="G432" s="4">
        <f>IF(PK!H64&lt;&gt;"",PK!H64,"")</f>
      </c>
      <c r="H432" s="30">
        <f t="shared" si="22"/>
        <v>24368.619999999995</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-2436862</v>
      </c>
      <c r="V432" s="31">
        <f>PK!U64</f>
        <v>2436862</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6" activePane="bottomLeft" state="frozen"/>
      <selection pane="topLeft" activeCell="A2" sqref="A2"/>
      <selection pane="bottomLeft" activeCell="C71" sqref="C71:J7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HOTELI VODICE d.d.</v>
      </c>
      <c r="X2" s="209" t="s">
        <v>207</v>
      </c>
      <c r="Y2" s="231">
        <f>IF(RefStr!C54&lt;&gt;"",RefStr!C54,"")</f>
        <v>8</v>
      </c>
      <c r="Z2" s="209" t="s">
        <v>2325</v>
      </c>
      <c r="AA2" s="231">
        <f>IF(RefStr!B64="","",RefStr!B64)</f>
      </c>
    </row>
    <row r="3" spans="1:27" ht="13.5" customHeight="1">
      <c r="A3" s="497" t="s">
        <v>2471</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3</v>
      </c>
      <c r="T3" s="211" t="s">
        <v>777</v>
      </c>
      <c r="U3" s="232" t="str">
        <f>RefStr!L21</f>
        <v>71799539000</v>
      </c>
      <c r="V3" s="211" t="s">
        <v>2354</v>
      </c>
      <c r="W3" s="232">
        <f>RefStr!C31</f>
        <v>22211</v>
      </c>
      <c r="X3" s="211" t="s">
        <v>208</v>
      </c>
      <c r="Y3" s="232">
        <f>IF(RefStr!F54&lt;&gt;"",RefStr!F54,"")</f>
        <v>92</v>
      </c>
      <c r="Z3" s="211" t="s">
        <v>2326</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21</v>
      </c>
      <c r="T4" s="211" t="s">
        <v>2717</v>
      </c>
      <c r="U4" s="232" t="str">
        <f>RefStr!C27</f>
        <v>94858559872</v>
      </c>
      <c r="V4" s="211" t="s">
        <v>2355</v>
      </c>
      <c r="W4" s="232" t="str">
        <f>RefStr!F31</f>
        <v>VODICE</v>
      </c>
      <c r="X4" s="234" t="s">
        <v>222</v>
      </c>
      <c r="Y4" s="235" t="str">
        <f>RefStr!I68</f>
        <v>DA</v>
      </c>
      <c r="Z4" s="211" t="s">
        <v>2569</v>
      </c>
      <c r="AA4" s="232" t="str">
        <f>RefStr!N19</f>
        <v>MSFI</v>
      </c>
    </row>
    <row r="5" spans="1:27" ht="13.5" customHeight="1">
      <c r="A5" s="499"/>
      <c r="B5" s="500"/>
      <c r="C5" s="500"/>
      <c r="D5" s="500"/>
      <c r="E5" s="500"/>
      <c r="F5" s="500"/>
      <c r="G5" s="500"/>
      <c r="H5" s="500"/>
      <c r="I5" s="507"/>
      <c r="J5" s="508"/>
      <c r="L5" s="3"/>
      <c r="M5" s="3"/>
      <c r="N5" s="208" t="s">
        <v>1523</v>
      </c>
      <c r="O5" s="211">
        <f>NT_I!Q1</f>
        <v>1</v>
      </c>
      <c r="P5" s="212">
        <f>NT_I!Q2</f>
        <v>1</v>
      </c>
      <c r="Q5" s="232">
        <f>NT_I!Q3</f>
        <v>1</v>
      </c>
      <c r="R5" s="211" t="s">
        <v>1197</v>
      </c>
      <c r="S5" s="232">
        <f>IF(RefStr!C19&lt;&gt;"",IF(ISERROR(INT(RefStr!C19)),0,RefStr!C19),0)</f>
        <v>3</v>
      </c>
      <c r="T5" s="211" t="s">
        <v>2351</v>
      </c>
      <c r="U5" s="232" t="str">
        <f>RefStr!H27</f>
        <v>02077507</v>
      </c>
      <c r="V5" s="211" t="s">
        <v>2356</v>
      </c>
      <c r="W5" s="232" t="str">
        <f>RefStr!C33</f>
        <v>GRGURA NINSKOG 1</v>
      </c>
      <c r="X5" s="234" t="s">
        <v>2516</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2352</v>
      </c>
      <c r="U6" s="232" t="str">
        <f>RefStr!M27</f>
        <v>100006793</v>
      </c>
      <c r="V6" s="211" t="s">
        <v>2567</v>
      </c>
      <c r="W6" s="232" t="str">
        <f>RefStr!L35</f>
        <v>0915793245</v>
      </c>
      <c r="X6" s="211" t="s">
        <v>2513</v>
      </c>
      <c r="Y6" s="232" t="str">
        <f>RefStr!C68</f>
        <v>Matija Svirčić</v>
      </c>
      <c r="Z6" s="211" t="s">
        <v>1415</v>
      </c>
      <c r="AA6" s="232">
        <f>RefStr!C46</f>
        <v>0</v>
      </c>
    </row>
    <row r="7" spans="1:27" ht="13.5" customHeight="1">
      <c r="A7" s="499"/>
      <c r="B7" s="500"/>
      <c r="C7" s="500"/>
      <c r="D7" s="500"/>
      <c r="E7" s="500"/>
      <c r="F7" s="500"/>
      <c r="G7" s="500"/>
      <c r="H7" s="500"/>
      <c r="I7" s="222" t="s">
        <v>16</v>
      </c>
      <c r="J7" s="224">
        <f>SUM(M12:M120)</f>
        <v>4</v>
      </c>
      <c r="N7" s="208" t="s">
        <v>542</v>
      </c>
      <c r="O7" s="211">
        <f>PK!AA1</f>
        <v>1</v>
      </c>
      <c r="P7" s="212">
        <f>PK!AA2</f>
        <v>1</v>
      </c>
      <c r="Q7" s="232">
        <f>PK!AA3</f>
        <v>1</v>
      </c>
      <c r="R7" s="211" t="s">
        <v>2568</v>
      </c>
      <c r="S7" s="232">
        <f>IF(RefStr!C44&lt;&gt;"",IF(ISERROR(INT(RefStr!C44)),0,RefStr!C44),0)</f>
        <v>7</v>
      </c>
      <c r="T7" s="211" t="s">
        <v>1862</v>
      </c>
      <c r="U7" s="232">
        <f>RefStr!C7</f>
        <v>4</v>
      </c>
      <c r="V7" s="211" t="s">
        <v>1193</v>
      </c>
      <c r="W7" s="232" t="str">
        <f>TRIM(UPPER(RefStr!C35))</f>
        <v>FINANCIJE@HOTELIVODICE.HR</v>
      </c>
      <c r="X7" s="211" t="s">
        <v>2514</v>
      </c>
      <c r="Y7" s="232" t="str">
        <f>RefStr!C70</f>
        <v>0915793245</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Dioničko društvo</v>
      </c>
      <c r="V8" s="211" t="s">
        <v>2573</v>
      </c>
      <c r="W8" s="232" t="str">
        <f>RefStr!C42</f>
        <v>5510</v>
      </c>
      <c r="X8" s="211" t="s">
        <v>2515</v>
      </c>
      <c r="Y8" s="232" t="str">
        <f>TRIM(UPPER(RefStr!C72))</f>
        <v>FINANCIJE@HOTELIVODICE.HR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80</v>
      </c>
      <c r="Q9" s="231">
        <f>RefStr!F58</f>
        <v>0</v>
      </c>
      <c r="R9" s="211" t="s">
        <v>1860</v>
      </c>
      <c r="S9" s="232">
        <f>IF(RefStr!F4&lt;&gt;"",RefStr!F4,0)</f>
        <v>43830</v>
      </c>
      <c r="T9" s="211" t="s">
        <v>1821</v>
      </c>
      <c r="U9" s="232">
        <f>RefStr!C39</f>
        <v>500</v>
      </c>
      <c r="V9" s="211" t="s">
        <v>1414</v>
      </c>
      <c r="W9" s="232" t="str">
        <f>RefStr!D42</f>
        <v>Hoteli i sličan smještaj</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80</v>
      </c>
      <c r="Q10" s="233">
        <f>RefStr!F56</f>
        <v>0</v>
      </c>
      <c r="R10" s="213" t="s">
        <v>1863</v>
      </c>
      <c r="S10" s="233">
        <f>RefStr!C23</f>
        <v>1</v>
      </c>
      <c r="T10" s="213" t="s">
        <v>2572</v>
      </c>
      <c r="U10" s="233" t="str">
        <f>RefStr!D39</f>
        <v>Vodice</v>
      </c>
      <c r="V10" s="240"/>
      <c r="W10" s="241"/>
      <c r="X10" s="242" t="s">
        <v>1974</v>
      </c>
      <c r="Y10" s="243">
        <f>RefStr!F12</f>
        <v>2019</v>
      </c>
      <c r="Z10" s="213" t="s">
        <v>209</v>
      </c>
      <c r="AA10" s="233" t="str">
        <f>RefStr!A75</f>
        <v>ROBERTA RUDAN</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2570</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2531</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2565</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2532</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2511</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2328</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7"/>
      <c r="E50" s="487"/>
      <c r="F50" s="487"/>
      <c r="G50" s="487"/>
      <c r="H50" s="487"/>
      <c r="I50" s="487"/>
      <c r="J50" s="487"/>
      <c r="L50" s="195">
        <f>IF(N50&lt;&gt;S3,1,0)</f>
        <v>0</v>
      </c>
      <c r="M50" s="195"/>
      <c r="N50" s="195">
        <f>IF(P8&gt;0,O50,AC50)</f>
        <v>3</v>
      </c>
      <c r="O50" s="199">
        <f>IF(SUM(Y50:AA50)&gt;1,4,IF(SUM(U50:W50)&gt;1,3,IF(SUM(Q50:S50)&gt;1,2,IF(S6="DA",2,1))))</f>
        <v>3</v>
      </c>
      <c r="P50" s="202" t="s">
        <v>2665</v>
      </c>
      <c r="Q50" s="202">
        <f>IF(Bilanca!I73&gt;2600000,1,0)</f>
        <v>1</v>
      </c>
      <c r="R50" s="201">
        <f>IF(RDG!I60&gt;5200000,1,0)</f>
        <v>1</v>
      </c>
      <c r="S50" s="201">
        <f>IF(P10&gt;10,1,0)</f>
        <v>1</v>
      </c>
      <c r="T50" s="201" t="s">
        <v>1948</v>
      </c>
      <c r="U50" s="201">
        <f>IF(Bilanca!I73&gt;30000000,1,0)</f>
        <v>1</v>
      </c>
      <c r="V50" s="201">
        <f>IF(RDG!I60&gt;60000000,1,0)</f>
        <v>0</v>
      </c>
      <c r="W50" s="201">
        <f>IF(P10&gt;50,1,0)</f>
        <v>1</v>
      </c>
      <c r="X50" s="201" t="s">
        <v>1949</v>
      </c>
      <c r="Y50" s="201">
        <f>IF(Bilanca!I73&gt;150000000,1,0)</f>
        <v>1</v>
      </c>
      <c r="Z50" s="201">
        <f>IF(RDG!I60&gt;300000000,1,0)</f>
        <v>0</v>
      </c>
      <c r="AA50" s="201">
        <f>IF(P10&gt;250,1,0)</f>
        <v>0</v>
      </c>
      <c r="AC50" s="199">
        <f>IF(SUM(AM50:AO50)&gt;1,4,IF(SUM(AI50:AK50)&gt;1,3,IF(SUM(AE50:AG50)&gt;1,2,IF(S6="DA",2,1))))</f>
        <v>2</v>
      </c>
      <c r="AD50" s="202" t="s">
        <v>2665</v>
      </c>
      <c r="AE50" s="202">
        <f>IF(Bilanca!J73&gt;2600000,1,0)</f>
        <v>1</v>
      </c>
      <c r="AF50" s="201">
        <f>IF(S9&gt;S8,IF(RDG!J60*365/(S9-S8)&gt;5200000,1,0),0)</f>
        <v>1</v>
      </c>
      <c r="AG50" s="201">
        <f>IF(Q10&gt;10,1,0)</f>
        <v>0</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2895</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2896</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2538</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2894</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114</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87" t="s">
        <v>332</v>
      </c>
      <c r="D76" s="487"/>
      <c r="E76" s="487"/>
      <c r="F76" s="487"/>
      <c r="G76" s="487"/>
      <c r="H76" s="487"/>
      <c r="I76" s="487"/>
      <c r="J76" s="487"/>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2533</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Provjera</v>
      </c>
      <c r="C96" s="487" t="s">
        <v>757</v>
      </c>
      <c r="D96" s="487"/>
      <c r="E96" s="487"/>
      <c r="F96" s="487"/>
      <c r="G96" s="487"/>
      <c r="H96" s="487"/>
      <c r="I96" s="487"/>
      <c r="J96" s="487"/>
      <c r="L96" s="195">
        <v>0</v>
      </c>
      <c r="M96" s="195">
        <f aca="true" t="shared" si="16" ref="M96:M105">MAX(N96:W96)</f>
        <v>1</v>
      </c>
      <c r="N96" s="195">
        <f>IF(AND(P9=0,Q9&gt;2,P8&gt;0),1,0)</f>
        <v>0</v>
      </c>
      <c r="O96" s="195">
        <f>IF(AND(P10=0,Q10&gt;2,P8&gt;0),1,0)</f>
        <v>0</v>
      </c>
      <c r="P96" s="195">
        <f>IF(AND(P9&gt;2,Q9=0,P8&gt;0),1,0)</f>
        <v>1</v>
      </c>
      <c r="Q96" s="198">
        <f>IF(AND(P10&gt;2,Q10=0,P8&gt;0),1,0)</f>
        <v>1</v>
      </c>
      <c r="R96" s="198">
        <f>IF(AND(P9+Q9&gt;10,OR(P9&lt;0.39*(P9+Q9),Q9&lt;0.39*(P9+Q9))),1,0)</f>
        <v>1</v>
      </c>
      <c r="S96" s="198">
        <f>IF(AND(P10+Q10&gt;10,OR(P10&lt;0.39*(P10+Q10),Q10&lt;0.39*(P10+Q10))),1,0)</f>
        <v>1</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Provjera</v>
      </c>
      <c r="C102" s="487" t="s">
        <v>821</v>
      </c>
      <c r="D102" s="487"/>
      <c r="E102" s="487"/>
      <c r="F102" s="487"/>
      <c r="G102" s="487"/>
      <c r="H102" s="487"/>
      <c r="I102" s="487"/>
      <c r="J102" s="487"/>
      <c r="L102" s="195">
        <v>0</v>
      </c>
      <c r="M102" s="195">
        <f t="shared" si="16"/>
        <v>1</v>
      </c>
      <c r="N102" s="195">
        <f>IF(AND(P4&gt;0,SUM(Bilanca!I31+Bilanca!I34+Bilanca!I36+Bilanca!I38+Bilanca!I64+Bilanca!I67+Bilanca!I69+Bilanca!I70)&lt;SUM(Dodatni!I10:I12)),1,0)</f>
        <v>1</v>
      </c>
      <c r="O102" s="195">
        <f>IF(AND(Q4&gt;0,SUM(Bilanca!J31+Bilanca!J34+Bilanca!J36+Bilanca!J38+Bilanca!J64+Bilanca!J67+Bilanca!J69+Bilanca!J70)&lt;SUM(Dodatni!J10:J12)),1,0)</f>
        <v>1</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2905</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2906</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C:\Users\Matija\Desktop\[GFI-POD HOTELI VODICE, revidirano, nekonsolidirano 2019..xls]RDG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Provjera</v>
      </c>
      <c r="C120" s="487" t="s">
        <v>1452</v>
      </c>
      <c r="D120" s="487"/>
      <c r="E120" s="487"/>
      <c r="F120" s="487"/>
      <c r="G120" s="487"/>
      <c r="H120" s="487"/>
      <c r="I120" s="487"/>
      <c r="J120" s="487"/>
      <c r="L120" s="195">
        <v>0</v>
      </c>
      <c r="M120" s="195">
        <f>MAX(N120:O120)</f>
        <v>1</v>
      </c>
      <c r="N120" s="195">
        <f>IF(AND(RDG!I21&gt;40000,OR(P9=0,P10=0)),1,0)</f>
        <v>0</v>
      </c>
      <c r="O120" s="195">
        <f>IF(AND(RDG!J21&gt;40000,OR(Q9=0,Q10=0)),1,0)</f>
        <v>1</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100:J100"/>
    <mergeCell ref="C80:J80"/>
    <mergeCell ref="C78:J78"/>
    <mergeCell ref="C77:J77"/>
    <mergeCell ref="C66:J66"/>
    <mergeCell ref="C68:J68"/>
    <mergeCell ref="C70:J70"/>
    <mergeCell ref="C67:J67"/>
    <mergeCell ref="C69:J69"/>
    <mergeCell ref="C47:J47"/>
    <mergeCell ref="C104:J104"/>
    <mergeCell ref="C103:J103"/>
    <mergeCell ref="C76:J76"/>
    <mergeCell ref="C90:J90"/>
    <mergeCell ref="C89:J89"/>
    <mergeCell ref="C75:J75"/>
    <mergeCell ref="C57:J57"/>
    <mergeCell ref="C74:J74"/>
    <mergeCell ref="C101:J101"/>
    <mergeCell ref="C62:J62"/>
    <mergeCell ref="C71:J71"/>
    <mergeCell ref="C97:J97"/>
    <mergeCell ref="C84:J84"/>
    <mergeCell ref="C45:J45"/>
    <mergeCell ref="C50:J50"/>
    <mergeCell ref="C79:J79"/>
    <mergeCell ref="C95:J95"/>
    <mergeCell ref="C96:J96"/>
    <mergeCell ref="C49:J49"/>
    <mergeCell ref="C72:J72"/>
    <mergeCell ref="C88:J88"/>
    <mergeCell ref="C82:J82"/>
    <mergeCell ref="C86:J86"/>
    <mergeCell ref="C87:J87"/>
    <mergeCell ref="C83:J83"/>
    <mergeCell ref="C85:J85"/>
    <mergeCell ref="A73:J73"/>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5" activePane="bottomLeft" state="frozen"/>
      <selection pane="topLeft" activeCell="A1" sqref="A1"/>
      <selection pane="bottomLeft" activeCell="O23" sqref="O23"/>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2019</v>
      </c>
    </row>
    <row r="2" spans="1:17" s="148" customFormat="1" ht="60" customHeight="1">
      <c r="A2" s="365" t="s">
        <v>1057</v>
      </c>
      <c r="B2" s="366"/>
      <c r="C2" s="366"/>
      <c r="D2" s="366"/>
      <c r="E2" s="366"/>
      <c r="F2" s="366"/>
      <c r="G2" s="366"/>
      <c r="H2" s="366"/>
      <c r="I2" s="366"/>
      <c r="J2" s="366"/>
      <c r="K2" s="366"/>
      <c r="L2" s="366"/>
      <c r="M2" s="366"/>
      <c r="N2" s="367"/>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43466</v>
      </c>
      <c r="D4" s="361"/>
      <c r="E4" s="10" t="s">
        <v>1527</v>
      </c>
      <c r="F4" s="360">
        <v>43830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368" t="s">
        <v>1526</v>
      </c>
      <c r="B7" s="369"/>
      <c r="C7" s="15">
        <v>4</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72" t="s">
        <v>2174</v>
      </c>
      <c r="B10" s="373"/>
      <c r="C10" s="161"/>
      <c r="D10" s="161"/>
      <c r="E10" s="157"/>
      <c r="F10" s="158"/>
      <c r="G10" s="159"/>
      <c r="H10" s="156"/>
      <c r="I10" s="156"/>
      <c r="J10" s="156"/>
      <c r="K10" s="362" t="s">
        <v>1971</v>
      </c>
      <c r="L10" s="363"/>
      <c r="M10" s="363"/>
      <c r="N10" s="364"/>
      <c r="P10" s="54" t="s">
        <v>1815</v>
      </c>
      <c r="Q10" s="55">
        <f>IF(F4&lt;&gt;"",YEAR(F4)/100+MONTH(F4)/2+DAY(F4),0)</f>
        <v>57.19</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2727</v>
      </c>
      <c r="F12" s="348">
        <v>2019</v>
      </c>
      <c r="G12" s="349"/>
      <c r="H12" s="341" t="s">
        <v>2105</v>
      </c>
      <c r="I12" s="342"/>
      <c r="J12" s="342"/>
      <c r="K12" s="156"/>
      <c r="L12" s="156"/>
      <c r="M12" s="156"/>
      <c r="N12" s="156"/>
      <c r="P12" s="54" t="s">
        <v>2352</v>
      </c>
      <c r="Q12" s="55">
        <f>INT(VALUE(H27))/10</f>
        <v>207750.7</v>
      </c>
    </row>
    <row r="13" spans="4:17" ht="9.75" customHeight="1">
      <c r="D13" s="156"/>
      <c r="E13" s="162"/>
      <c r="H13" s="27"/>
      <c r="I13" s="163"/>
      <c r="J13" s="163"/>
      <c r="K13" s="156"/>
      <c r="L13" s="156"/>
      <c r="M13" s="156"/>
      <c r="N13" s="156"/>
      <c r="P13" s="54" t="s">
        <v>2352</v>
      </c>
      <c r="Q13" s="55">
        <f>INT(VALUE(M27))/50</f>
        <v>2000135.86</v>
      </c>
    </row>
    <row r="14" spans="1:17" ht="15">
      <c r="A14" s="340" t="s">
        <v>2713</v>
      </c>
      <c r="B14" s="340"/>
      <c r="C14" s="340"/>
      <c r="D14" s="164"/>
      <c r="E14" s="165"/>
      <c r="F14" s="338"/>
      <c r="G14" s="339"/>
      <c r="H14" s="339"/>
      <c r="I14" s="156"/>
      <c r="J14" s="346" t="s">
        <v>2100</v>
      </c>
      <c r="K14" s="347"/>
      <c r="L14" s="347"/>
      <c r="M14" s="347"/>
      <c r="N14" s="347"/>
      <c r="P14" s="54" t="s">
        <v>2717</v>
      </c>
      <c r="Q14" s="55">
        <f>INT(VALUE(C27))/100</f>
        <v>948585598.72</v>
      </c>
    </row>
    <row r="15" spans="1:17" ht="19.5" customHeight="1">
      <c r="A15" s="343">
        <f>Skriveni!B59</f>
        <v>4969666525.839999</v>
      </c>
      <c r="B15" s="344"/>
      <c r="C15" s="345"/>
      <c r="D15" s="60"/>
      <c r="E15" s="60"/>
      <c r="F15" s="60"/>
      <c r="G15" s="60"/>
      <c r="H15" s="60"/>
      <c r="I15" s="60"/>
      <c r="J15" s="60"/>
      <c r="K15" s="60"/>
      <c r="L15" s="60"/>
      <c r="M15" s="60"/>
      <c r="N15" s="60"/>
      <c r="P15" s="54" t="s">
        <v>1817</v>
      </c>
      <c r="Q15" s="55">
        <f>LEN(Skriveni!B9)</f>
        <v>18</v>
      </c>
    </row>
    <row r="16" spans="4:17" ht="12.75" customHeight="1">
      <c r="D16" s="60"/>
      <c r="E16" s="60"/>
      <c r="F16" s="60"/>
      <c r="G16" s="60"/>
      <c r="H16" s="60"/>
      <c r="I16" s="60"/>
      <c r="P16" s="54" t="s">
        <v>1818</v>
      </c>
      <c r="Q16" s="55">
        <f>INT(VALUE(C31))/100</f>
        <v>222.11</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2715</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2964</v>
      </c>
      <c r="P19" s="54" t="s">
        <v>1820</v>
      </c>
      <c r="Q19" s="55">
        <f>LEN(Skriveni!B12)</f>
        <v>16</v>
      </c>
    </row>
    <row r="20" spans="1:17" ht="4.5" customHeight="1">
      <c r="A20" s="13"/>
      <c r="B20" s="47"/>
      <c r="C20" s="34"/>
      <c r="I20" s="34"/>
      <c r="M20" s="146"/>
      <c r="N20" s="166"/>
      <c r="Q20" s="55"/>
    </row>
    <row r="21" spans="1:17" ht="15" customHeight="1">
      <c r="A21" s="314" t="s">
        <v>2108</v>
      </c>
      <c r="B21" s="291"/>
      <c r="C21" s="36" t="s">
        <v>2618</v>
      </c>
      <c r="D21" s="193" t="s">
        <v>2111</v>
      </c>
      <c r="E21" s="274" t="s">
        <v>2109</v>
      </c>
      <c r="F21" s="302"/>
      <c r="G21" s="302"/>
      <c r="H21" s="328"/>
      <c r="I21" s="36" t="s">
        <v>2138</v>
      </c>
      <c r="J21" s="283" t="s">
        <v>2110</v>
      </c>
      <c r="K21" s="279"/>
      <c r="L21" s="284" t="s">
        <v>2963</v>
      </c>
      <c r="M21" s="285"/>
      <c r="N21" s="286"/>
      <c r="P21" s="54" t="s">
        <v>1821</v>
      </c>
      <c r="Q21" s="55">
        <f>INT(VALUE(C39))</f>
        <v>500</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2916</v>
      </c>
      <c r="Q23" s="55">
        <f>INT(VALUE(C42))</f>
        <v>5510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2952</v>
      </c>
      <c r="D27" s="378"/>
      <c r="E27" s="286"/>
      <c r="F27" s="290" t="s">
        <v>2405</v>
      </c>
      <c r="G27" s="322"/>
      <c r="H27" s="284" t="s">
        <v>2953</v>
      </c>
      <c r="I27" s="289"/>
      <c r="J27" s="290" t="s">
        <v>2099</v>
      </c>
      <c r="K27" s="291"/>
      <c r="L27" s="292"/>
      <c r="M27" s="284" t="s">
        <v>2954</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2714</v>
      </c>
      <c r="B29" s="275"/>
      <c r="C29" s="323" t="s">
        <v>2955</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22211</v>
      </c>
      <c r="D31" s="329" t="s">
        <v>693</v>
      </c>
      <c r="E31" s="330"/>
      <c r="F31" s="323" t="s">
        <v>2956</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2957</v>
      </c>
      <c r="D33" s="324"/>
      <c r="E33" s="324"/>
      <c r="F33" s="324"/>
      <c r="G33" s="324"/>
      <c r="H33" s="324"/>
      <c r="I33" s="324"/>
      <c r="J33" s="324"/>
      <c r="K33" s="324"/>
      <c r="L33" s="325"/>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2958</v>
      </c>
      <c r="D35" s="334"/>
      <c r="E35" s="334"/>
      <c r="F35" s="334"/>
      <c r="G35" s="334"/>
      <c r="H35" s="334"/>
      <c r="I35" s="335"/>
      <c r="J35" s="275" t="s">
        <v>188</v>
      </c>
      <c r="K35" s="278"/>
      <c r="L35" s="284" t="s">
        <v>2961</v>
      </c>
      <c r="M35" s="285"/>
      <c r="N35" s="286"/>
      <c r="O35" s="54"/>
      <c r="P35" s="54" t="s">
        <v>1199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2959</v>
      </c>
      <c r="D37" s="312"/>
      <c r="E37" s="312"/>
      <c r="F37" s="312"/>
      <c r="G37" s="312"/>
      <c r="H37" s="312"/>
      <c r="I37" s="313"/>
      <c r="P37" s="54" t="s">
        <v>1825</v>
      </c>
      <c r="Q37" s="55">
        <f>C54*2+F54</f>
        <v>108</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500</v>
      </c>
      <c r="D39" s="326" t="str">
        <f>IF(C39="","Šifra grada/općine nije upisana",IF(ISNA(LOOKUP(C39,A177:A732,A177:A732)),"Šifra grada/općine ne postoji",IF(LOOKUP(C39,A177:A732,A177:A732)&lt;&gt;C39,"Šifra grada/općine ne postoji",LOOKUP(C39,A177:A732,B177:B732))))</f>
        <v>Vodice</v>
      </c>
      <c r="E39" s="327"/>
      <c r="F39" s="327"/>
      <c r="G39" s="327"/>
      <c r="H39" s="314" t="s">
        <v>2221</v>
      </c>
      <c r="I39" s="292"/>
      <c r="J39" s="58">
        <f>IF(C39&gt;0,LOOKUP(C39,A177:A732,C177:C732),"")</f>
        <v>15</v>
      </c>
      <c r="K39" s="315" t="str">
        <f>IF(J39="","Treba prvo upisati šifru grada/općine",LOOKUP(J39,A153:A173,B153:B173))</f>
        <v>ŠIBENSKO-KNINSKA</v>
      </c>
      <c r="L39" s="315"/>
      <c r="M39" s="315"/>
      <c r="N39" s="315"/>
      <c r="P39" s="54" t="s">
        <v>1826</v>
      </c>
      <c r="Q39" s="55">
        <f>C56+2*F56+3*C58+4*F58</f>
        <v>320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2368</v>
      </c>
      <c r="B42" s="275"/>
      <c r="C42" s="41" t="s">
        <v>1910</v>
      </c>
      <c r="D42" s="317" t="str">
        <f>IF(C42="","Šifra NKD-a nije upisana",IF(ISNA(LOOKUP(C42,A736:A1351,A736:A1351)),"Šifra NKD-a ne postoji",IF(LOOKUP(C42,A736:A1351,A736:A1351)&lt;&gt;C42,"Šifra NKD-a ne postoji",LOOKUP(C42,A736:A1351,B736:B1351))))</f>
        <v>Hoteli i sličan smještaj</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7</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21"/>
      <c r="F44" s="321"/>
      <c r="G44" s="321"/>
      <c r="H44" s="321"/>
      <c r="I44" s="321"/>
      <c r="J44" s="321"/>
      <c r="K44" s="321"/>
      <c r="L44" s="321"/>
      <c r="M44" s="321"/>
      <c r="N44" s="321"/>
      <c r="P44" s="54" t="s">
        <v>530</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717995390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2716</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2575</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21</v>
      </c>
      <c r="D52" s="316" t="str">
        <f>IF(C52="","Oznaka vlasništva nije upisana",IF(ISNA(LOOKUP(C52,A80:A87,A80:A87)),"Nepostojeća oznaka vlasništva",IF(LOOKUP(C52,A80:A87,A80:A87)&lt;&gt;C52,"Nepostojeća oznaka vlasništva",LOOKUP(C52,A80:A87,B80:B87))))</f>
        <v>Privatno od osnivanja</v>
      </c>
      <c r="E52" s="302"/>
      <c r="F52" s="302"/>
      <c r="G52" s="302"/>
      <c r="H52" s="302"/>
      <c r="I52" s="5" t="str">
        <f>IF(OR(Bilanca!Q1=1,RDG!Q1=1,N6="NE"),"DA","NE")</f>
        <v>DA</v>
      </c>
      <c r="J52" s="280" t="s">
        <v>242</v>
      </c>
      <c r="K52" s="281"/>
      <c r="L52" s="281"/>
      <c r="M52" s="281"/>
      <c r="N52" s="281"/>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8</v>
      </c>
      <c r="D54" s="59" t="s">
        <v>2113</v>
      </c>
      <c r="F54" s="40">
        <v>92</v>
      </c>
      <c r="G54" s="59" t="s">
        <v>2114</v>
      </c>
      <c r="H54" s="60"/>
      <c r="I54" s="5" t="str">
        <f>IF(OR(Dodatni!Q1=1,AND(N6="NE",C19&lt;&gt;2)),"DA","NE")</f>
        <v>DA</v>
      </c>
      <c r="J54" s="280" t="s">
        <v>567</v>
      </c>
      <c r="K54" s="281"/>
      <c r="L54" s="281"/>
      <c r="M54" s="281"/>
      <c r="N54" s="281"/>
      <c r="O54" s="186"/>
      <c r="P54" s="54" t="s">
        <v>2568</v>
      </c>
      <c r="Q54" s="54">
        <f>C44/10</f>
        <v>0.7</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80</v>
      </c>
      <c r="D56" s="272" t="s">
        <v>2897</v>
      </c>
      <c r="E56" s="273"/>
      <c r="F56" s="44"/>
      <c r="G56" s="272" t="s">
        <v>2898</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2225</v>
      </c>
      <c r="B58" s="375"/>
      <c r="C58" s="44">
        <v>80</v>
      </c>
      <c r="D58" s="309" t="s">
        <v>2897</v>
      </c>
      <c r="E58" s="309"/>
      <c r="F58" s="44"/>
      <c r="G58" s="309" t="s">
        <v>2898</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2897</v>
      </c>
      <c r="E60" s="309"/>
      <c r="F60" s="44">
        <v>12</v>
      </c>
      <c r="G60" s="309" t="s">
        <v>2898</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07" t="s">
        <v>2718</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10" t="s">
        <v>2116</v>
      </c>
      <c r="D64" s="302"/>
      <c r="E64" s="302"/>
      <c r="F64" s="302"/>
      <c r="G64" s="156"/>
      <c r="H64" s="156"/>
      <c r="I64" s="226" t="s">
        <v>2138</v>
      </c>
      <c r="J64" s="307" t="s">
        <v>2719</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2224</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2960</v>
      </c>
      <c r="D68" s="296"/>
      <c r="E68" s="296"/>
      <c r="F68" s="296"/>
      <c r="G68" s="297"/>
      <c r="H68" s="191"/>
      <c r="I68" s="226" t="s">
        <v>2138</v>
      </c>
      <c r="J68" s="281" t="s">
        <v>2574</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2961</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2958</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2962</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67" activePane="bottomLeft" state="frozen"/>
      <selection pane="topLeft" activeCell="A1" sqref="A1"/>
      <selection pane="bottomLeft" activeCell="J76" sqref="J7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87" t="s">
        <v>138</v>
      </c>
      <c r="B2" s="388"/>
      <c r="C2" s="388"/>
      <c r="D2" s="388"/>
      <c r="E2" s="388"/>
      <c r="F2" s="388"/>
      <c r="G2" s="388"/>
      <c r="H2" s="388"/>
      <c r="I2" s="389"/>
      <c r="J2" s="385" t="s">
        <v>2589</v>
      </c>
      <c r="Q2" s="74">
        <f>IF(OR(MIN(I9:I133)&lt;0,MAX(I9:I133)&gt;0),1,0)</f>
        <v>1</v>
      </c>
      <c r="R2" s="73" t="s">
        <v>2585</v>
      </c>
    </row>
    <row r="3" spans="1:18" ht="19.5" customHeight="1" thickBot="1">
      <c r="A3" s="390" t="str">
        <f>"stanje na dan "&amp;IF(RefStr!F4&lt;&gt;"",TEXT(RefStr!F4,"DD.MM.YYYY."),"__.__.____.")</f>
        <v>stanje na dan 31.12.2019.</v>
      </c>
      <c r="B3" s="391"/>
      <c r="C3" s="391"/>
      <c r="D3" s="391"/>
      <c r="E3" s="391"/>
      <c r="F3" s="391"/>
      <c r="G3" s="391"/>
      <c r="H3" s="391"/>
      <c r="I3" s="392"/>
      <c r="J3" s="386"/>
      <c r="Q3" s="74">
        <f>IF(OR(MIN(J9:J133)&lt;0,MAX(J9:J133)&gt;0),1,0)</f>
        <v>1</v>
      </c>
      <c r="R3" s="73" t="s">
        <v>2586</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94858559872; HOTELI VODICE d.d.</v>
      </c>
      <c r="B5" s="394"/>
      <c r="C5" s="394"/>
      <c r="D5" s="394"/>
      <c r="E5" s="394"/>
      <c r="F5" s="394"/>
      <c r="G5" s="394"/>
      <c r="H5" s="394"/>
      <c r="I5" s="394"/>
      <c r="J5" s="395"/>
      <c r="Q5" s="2">
        <f>IF(I96&lt;&gt;0,1,0)</f>
        <v>0</v>
      </c>
      <c r="R5" s="73" t="s">
        <v>2587</v>
      </c>
    </row>
    <row r="6" spans="1:18" ht="24.75" customHeight="1" thickBot="1">
      <c r="A6" s="396" t="s">
        <v>719</v>
      </c>
      <c r="B6" s="397"/>
      <c r="C6" s="397"/>
      <c r="D6" s="397"/>
      <c r="E6" s="397"/>
      <c r="F6" s="397"/>
      <c r="G6" s="102" t="s">
        <v>799</v>
      </c>
      <c r="H6" s="102" t="s">
        <v>1968</v>
      </c>
      <c r="I6" s="102" t="s">
        <v>2291</v>
      </c>
      <c r="J6" s="103" t="s">
        <v>2292</v>
      </c>
      <c r="Q6" s="2">
        <f>IF(J96&lt;&gt;0,1,0)</f>
        <v>0</v>
      </c>
      <c r="R6" s="73" t="s">
        <v>2588</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261988874</v>
      </c>
      <c r="J10" s="70">
        <f>J11+J18+J28+J39+J44</f>
        <v>75566437</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v>0</v>
      </c>
      <c r="J12" s="71">
        <v>0</v>
      </c>
    </row>
    <row r="13" spans="1:10" ht="24.75" customHeight="1">
      <c r="A13" s="381" t="s">
        <v>1810</v>
      </c>
      <c r="B13" s="381"/>
      <c r="C13" s="381"/>
      <c r="D13" s="381"/>
      <c r="E13" s="381"/>
      <c r="F13" s="381"/>
      <c r="G13" s="19">
        <v>5</v>
      </c>
      <c r="H13" s="20"/>
      <c r="I13" s="71">
        <v>0</v>
      </c>
      <c r="J13" s="71">
        <v>0</v>
      </c>
    </row>
    <row r="14" spans="1:10" ht="13.5" customHeight="1">
      <c r="A14" s="381" t="s">
        <v>966</v>
      </c>
      <c r="B14" s="381"/>
      <c r="C14" s="381"/>
      <c r="D14" s="381"/>
      <c r="E14" s="381"/>
      <c r="F14" s="381"/>
      <c r="G14" s="19">
        <v>6</v>
      </c>
      <c r="H14" s="20"/>
      <c r="I14" s="71">
        <v>0</v>
      </c>
      <c r="J14" s="71">
        <v>0</v>
      </c>
    </row>
    <row r="15" spans="1:10" ht="13.5" customHeight="1">
      <c r="A15" s="381" t="s">
        <v>967</v>
      </c>
      <c r="B15" s="381"/>
      <c r="C15" s="381"/>
      <c r="D15" s="381"/>
      <c r="E15" s="381"/>
      <c r="F15" s="381"/>
      <c r="G15" s="19">
        <v>7</v>
      </c>
      <c r="H15" s="20"/>
      <c r="I15" s="71">
        <v>0</v>
      </c>
      <c r="J15" s="71">
        <v>0</v>
      </c>
    </row>
    <row r="16" spans="1:10" ht="13.5" customHeight="1">
      <c r="A16" s="381" t="s">
        <v>968</v>
      </c>
      <c r="B16" s="381"/>
      <c r="C16" s="381"/>
      <c r="D16" s="381"/>
      <c r="E16" s="381"/>
      <c r="F16" s="381"/>
      <c r="G16" s="19">
        <v>8</v>
      </c>
      <c r="H16" s="20"/>
      <c r="I16" s="71">
        <v>0</v>
      </c>
      <c r="J16" s="71">
        <v>0</v>
      </c>
    </row>
    <row r="17" spans="1:10" ht="13.5" customHeight="1">
      <c r="A17" s="381" t="s">
        <v>969</v>
      </c>
      <c r="B17" s="381"/>
      <c r="C17" s="381"/>
      <c r="D17" s="381"/>
      <c r="E17" s="381"/>
      <c r="F17" s="381"/>
      <c r="G17" s="19">
        <v>9</v>
      </c>
      <c r="H17" s="20"/>
      <c r="I17" s="71">
        <v>0</v>
      </c>
      <c r="J17" s="71">
        <v>0</v>
      </c>
    </row>
    <row r="18" spans="1:10" ht="13.5" customHeight="1">
      <c r="A18" s="382" t="s">
        <v>731</v>
      </c>
      <c r="B18" s="382"/>
      <c r="C18" s="382"/>
      <c r="D18" s="382"/>
      <c r="E18" s="382"/>
      <c r="F18" s="382"/>
      <c r="G18" s="19">
        <v>10</v>
      </c>
      <c r="H18" s="20"/>
      <c r="I18" s="70">
        <f>SUM(I19:I27)</f>
        <v>261968874</v>
      </c>
      <c r="J18" s="70">
        <f>SUM(J19:J27)</f>
        <v>75546437</v>
      </c>
    </row>
    <row r="19" spans="1:10" ht="13.5" customHeight="1">
      <c r="A19" s="381" t="s">
        <v>2175</v>
      </c>
      <c r="B19" s="381"/>
      <c r="C19" s="381"/>
      <c r="D19" s="381"/>
      <c r="E19" s="381"/>
      <c r="F19" s="381"/>
      <c r="G19" s="19">
        <v>11</v>
      </c>
      <c r="H19" s="20"/>
      <c r="I19" s="71">
        <v>40824742</v>
      </c>
      <c r="J19" s="71">
        <v>17079920</v>
      </c>
    </row>
    <row r="20" spans="1:10" ht="13.5" customHeight="1">
      <c r="A20" s="381" t="s">
        <v>543</v>
      </c>
      <c r="B20" s="381"/>
      <c r="C20" s="381"/>
      <c r="D20" s="381"/>
      <c r="E20" s="381"/>
      <c r="F20" s="381"/>
      <c r="G20" s="19">
        <v>12</v>
      </c>
      <c r="H20" s="20"/>
      <c r="I20" s="71">
        <v>219497422</v>
      </c>
      <c r="J20" s="71">
        <v>56390381</v>
      </c>
    </row>
    <row r="21" spans="1:10" ht="13.5" customHeight="1">
      <c r="A21" s="381" t="s">
        <v>2176</v>
      </c>
      <c r="B21" s="381"/>
      <c r="C21" s="381"/>
      <c r="D21" s="381"/>
      <c r="E21" s="381"/>
      <c r="F21" s="381"/>
      <c r="G21" s="19">
        <v>13</v>
      </c>
      <c r="H21" s="20"/>
      <c r="I21" s="71">
        <v>602226</v>
      </c>
      <c r="J21" s="71">
        <v>1657659</v>
      </c>
    </row>
    <row r="22" spans="1:10" ht="13.5" customHeight="1">
      <c r="A22" s="381" t="s">
        <v>2289</v>
      </c>
      <c r="B22" s="381"/>
      <c r="C22" s="381"/>
      <c r="D22" s="381"/>
      <c r="E22" s="381"/>
      <c r="F22" s="381"/>
      <c r="G22" s="19">
        <v>14</v>
      </c>
      <c r="H22" s="20"/>
      <c r="I22" s="71">
        <v>572602</v>
      </c>
      <c r="J22" s="71">
        <v>246595</v>
      </c>
    </row>
    <row r="23" spans="1:10" ht="13.5" customHeight="1">
      <c r="A23" s="381" t="s">
        <v>2290</v>
      </c>
      <c r="B23" s="381"/>
      <c r="C23" s="381"/>
      <c r="D23" s="381"/>
      <c r="E23" s="381"/>
      <c r="F23" s="381"/>
      <c r="G23" s="19">
        <v>15</v>
      </c>
      <c r="H23" s="20"/>
      <c r="I23" s="71">
        <v>0</v>
      </c>
      <c r="J23" s="71">
        <v>0</v>
      </c>
    </row>
    <row r="24" spans="1:10" ht="13.5" customHeight="1">
      <c r="A24" s="381" t="s">
        <v>1082</v>
      </c>
      <c r="B24" s="381"/>
      <c r="C24" s="381"/>
      <c r="D24" s="381"/>
      <c r="E24" s="381"/>
      <c r="F24" s="381"/>
      <c r="G24" s="19">
        <v>16</v>
      </c>
      <c r="H24" s="20"/>
      <c r="I24" s="71">
        <v>0</v>
      </c>
      <c r="J24" s="71">
        <v>0</v>
      </c>
    </row>
    <row r="25" spans="1:10" ht="13.5" customHeight="1">
      <c r="A25" s="381" t="s">
        <v>1083</v>
      </c>
      <c r="B25" s="381"/>
      <c r="C25" s="381"/>
      <c r="D25" s="381"/>
      <c r="E25" s="381"/>
      <c r="F25" s="381"/>
      <c r="G25" s="19">
        <v>17</v>
      </c>
      <c r="H25" s="20"/>
      <c r="I25" s="71">
        <v>300000</v>
      </c>
      <c r="J25" s="71">
        <v>0</v>
      </c>
    </row>
    <row r="26" spans="1:10" ht="13.5" customHeight="1">
      <c r="A26" s="381" t="s">
        <v>1084</v>
      </c>
      <c r="B26" s="381"/>
      <c r="C26" s="381"/>
      <c r="D26" s="381"/>
      <c r="E26" s="381"/>
      <c r="F26" s="381"/>
      <c r="G26" s="19">
        <v>18</v>
      </c>
      <c r="H26" s="20"/>
      <c r="I26" s="71">
        <v>171882</v>
      </c>
      <c r="J26" s="71">
        <v>171882</v>
      </c>
    </row>
    <row r="27" spans="1:10" ht="13.5" customHeight="1">
      <c r="A27" s="381" t="s">
        <v>1085</v>
      </c>
      <c r="B27" s="381"/>
      <c r="C27" s="381"/>
      <c r="D27" s="381"/>
      <c r="E27" s="381"/>
      <c r="F27" s="381"/>
      <c r="G27" s="19">
        <v>19</v>
      </c>
      <c r="H27" s="20"/>
      <c r="I27" s="71">
        <v>0</v>
      </c>
      <c r="J27" s="71">
        <v>0</v>
      </c>
    </row>
    <row r="28" spans="1:10" ht="13.5" customHeight="1">
      <c r="A28" s="382" t="s">
        <v>2643</v>
      </c>
      <c r="B28" s="382"/>
      <c r="C28" s="382"/>
      <c r="D28" s="382"/>
      <c r="E28" s="382"/>
      <c r="F28" s="382"/>
      <c r="G28" s="19">
        <v>20</v>
      </c>
      <c r="H28" s="20"/>
      <c r="I28" s="70">
        <f>SUM(I29:I38)</f>
        <v>20000</v>
      </c>
      <c r="J28" s="70">
        <f>SUM(J29:J38)</f>
        <v>20000</v>
      </c>
    </row>
    <row r="29" spans="1:10" ht="13.5" customHeight="1">
      <c r="A29" s="381" t="s">
        <v>399</v>
      </c>
      <c r="B29" s="381"/>
      <c r="C29" s="381"/>
      <c r="D29" s="381"/>
      <c r="E29" s="381"/>
      <c r="F29" s="381"/>
      <c r="G29" s="19">
        <v>21</v>
      </c>
      <c r="H29" s="20"/>
      <c r="I29" s="71">
        <v>20000</v>
      </c>
      <c r="J29" s="71">
        <v>20000</v>
      </c>
    </row>
    <row r="30" spans="1:10" ht="13.5" customHeight="1">
      <c r="A30" s="381" t="s">
        <v>400</v>
      </c>
      <c r="B30" s="381"/>
      <c r="C30" s="381"/>
      <c r="D30" s="381"/>
      <c r="E30" s="381"/>
      <c r="F30" s="381"/>
      <c r="G30" s="19">
        <v>22</v>
      </c>
      <c r="H30" s="20"/>
      <c r="I30" s="71">
        <v>0</v>
      </c>
      <c r="J30" s="71">
        <v>0</v>
      </c>
    </row>
    <row r="31" spans="1:10" ht="13.5" customHeight="1">
      <c r="A31" s="381" t="s">
        <v>401</v>
      </c>
      <c r="B31" s="381"/>
      <c r="C31" s="381"/>
      <c r="D31" s="381"/>
      <c r="E31" s="381"/>
      <c r="F31" s="381"/>
      <c r="G31" s="19">
        <v>23</v>
      </c>
      <c r="H31" s="20"/>
      <c r="I31" s="71">
        <v>0</v>
      </c>
      <c r="J31" s="71">
        <v>0</v>
      </c>
    </row>
    <row r="32" spans="1:10" ht="24.75" customHeight="1">
      <c r="A32" s="381" t="s">
        <v>1811</v>
      </c>
      <c r="B32" s="381"/>
      <c r="C32" s="381"/>
      <c r="D32" s="381"/>
      <c r="E32" s="381"/>
      <c r="F32" s="381"/>
      <c r="G32" s="19">
        <v>24</v>
      </c>
      <c r="H32" s="20"/>
      <c r="I32" s="71">
        <v>0</v>
      </c>
      <c r="J32" s="71">
        <v>0</v>
      </c>
    </row>
    <row r="33" spans="1:10" ht="24.75" customHeight="1">
      <c r="A33" s="381" t="s">
        <v>1812</v>
      </c>
      <c r="B33" s="381"/>
      <c r="C33" s="381"/>
      <c r="D33" s="381"/>
      <c r="E33" s="381"/>
      <c r="F33" s="381"/>
      <c r="G33" s="19">
        <v>25</v>
      </c>
      <c r="H33" s="20"/>
      <c r="I33" s="71">
        <v>0</v>
      </c>
      <c r="J33" s="71">
        <v>0</v>
      </c>
    </row>
    <row r="34" spans="1:10" ht="24.75" customHeight="1">
      <c r="A34" s="381" t="s">
        <v>2120</v>
      </c>
      <c r="B34" s="381"/>
      <c r="C34" s="381"/>
      <c r="D34" s="381"/>
      <c r="E34" s="381"/>
      <c r="F34" s="381"/>
      <c r="G34" s="19">
        <v>26</v>
      </c>
      <c r="H34" s="20"/>
      <c r="I34" s="71">
        <v>0</v>
      </c>
      <c r="J34" s="71">
        <v>0</v>
      </c>
    </row>
    <row r="35" spans="1:10" ht="13.5" customHeight="1">
      <c r="A35" s="381" t="s">
        <v>402</v>
      </c>
      <c r="B35" s="381"/>
      <c r="C35" s="381"/>
      <c r="D35" s="381"/>
      <c r="E35" s="381"/>
      <c r="F35" s="381"/>
      <c r="G35" s="19">
        <v>27</v>
      </c>
      <c r="H35" s="20"/>
      <c r="I35" s="71">
        <v>0</v>
      </c>
      <c r="J35" s="71">
        <v>0</v>
      </c>
    </row>
    <row r="36" spans="1:10" ht="13.5" customHeight="1">
      <c r="A36" s="381" t="s">
        <v>403</v>
      </c>
      <c r="B36" s="381"/>
      <c r="C36" s="381"/>
      <c r="D36" s="381"/>
      <c r="E36" s="381"/>
      <c r="F36" s="381"/>
      <c r="G36" s="19">
        <v>28</v>
      </c>
      <c r="H36" s="20"/>
      <c r="I36" s="71">
        <v>0</v>
      </c>
      <c r="J36" s="71">
        <v>0</v>
      </c>
    </row>
    <row r="37" spans="1:10" ht="13.5" customHeight="1">
      <c r="A37" s="381" t="s">
        <v>1033</v>
      </c>
      <c r="B37" s="381"/>
      <c r="C37" s="381"/>
      <c r="D37" s="381"/>
      <c r="E37" s="381"/>
      <c r="F37" s="381"/>
      <c r="G37" s="19">
        <v>29</v>
      </c>
      <c r="H37" s="20"/>
      <c r="I37" s="71">
        <v>0</v>
      </c>
      <c r="J37" s="71">
        <v>0</v>
      </c>
    </row>
    <row r="38" spans="1:10" ht="13.5" customHeight="1">
      <c r="A38" s="381" t="s">
        <v>1034</v>
      </c>
      <c r="B38" s="381"/>
      <c r="C38" s="381"/>
      <c r="D38" s="381"/>
      <c r="E38" s="381"/>
      <c r="F38" s="381"/>
      <c r="G38" s="19">
        <v>30</v>
      </c>
      <c r="H38" s="20"/>
      <c r="I38" s="71">
        <v>0</v>
      </c>
      <c r="J38" s="71">
        <v>0</v>
      </c>
    </row>
    <row r="39" spans="1:10" ht="13.5" customHeight="1">
      <c r="A39" s="382" t="s">
        <v>2644</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v>0</v>
      </c>
      <c r="J40" s="71">
        <v>0</v>
      </c>
    </row>
    <row r="41" spans="1:10" ht="13.5" customHeight="1">
      <c r="A41" s="381" t="s">
        <v>1036</v>
      </c>
      <c r="B41" s="381"/>
      <c r="C41" s="381"/>
      <c r="D41" s="381"/>
      <c r="E41" s="381"/>
      <c r="F41" s="381"/>
      <c r="G41" s="19">
        <v>33</v>
      </c>
      <c r="H41" s="20"/>
      <c r="I41" s="71">
        <v>0</v>
      </c>
      <c r="J41" s="71">
        <v>0</v>
      </c>
    </row>
    <row r="42" spans="1:10" ht="13.5" customHeight="1">
      <c r="A42" s="381" t="s">
        <v>964</v>
      </c>
      <c r="B42" s="381"/>
      <c r="C42" s="381"/>
      <c r="D42" s="381"/>
      <c r="E42" s="381"/>
      <c r="F42" s="381"/>
      <c r="G42" s="19">
        <v>34</v>
      </c>
      <c r="H42" s="20"/>
      <c r="I42" s="71">
        <v>0</v>
      </c>
      <c r="J42" s="71">
        <v>0</v>
      </c>
    </row>
    <row r="43" spans="1:10" ht="13.5" customHeight="1">
      <c r="A43" s="381" t="s">
        <v>1037</v>
      </c>
      <c r="B43" s="381"/>
      <c r="C43" s="381"/>
      <c r="D43" s="381"/>
      <c r="E43" s="381"/>
      <c r="F43" s="381"/>
      <c r="G43" s="19">
        <v>35</v>
      </c>
      <c r="H43" s="20"/>
      <c r="I43" s="71">
        <v>0</v>
      </c>
      <c r="J43" s="71">
        <v>0</v>
      </c>
    </row>
    <row r="44" spans="1:10" ht="13.5" customHeight="1">
      <c r="A44" s="382" t="s">
        <v>655</v>
      </c>
      <c r="B44" s="382"/>
      <c r="C44" s="382"/>
      <c r="D44" s="382"/>
      <c r="E44" s="382"/>
      <c r="F44" s="382"/>
      <c r="G44" s="19">
        <v>36</v>
      </c>
      <c r="H44" s="20"/>
      <c r="I44" s="71">
        <v>0</v>
      </c>
      <c r="J44" s="71">
        <v>0</v>
      </c>
    </row>
    <row r="45" spans="1:10" ht="13.5" customHeight="1">
      <c r="A45" s="383" t="s">
        <v>2645</v>
      </c>
      <c r="B45" s="383"/>
      <c r="C45" s="383"/>
      <c r="D45" s="383"/>
      <c r="E45" s="383"/>
      <c r="F45" s="383"/>
      <c r="G45" s="19">
        <v>37</v>
      </c>
      <c r="H45" s="20"/>
      <c r="I45" s="70">
        <f>I46+I54+I61+I71</f>
        <v>4179336</v>
      </c>
      <c r="J45" s="70">
        <f>J46+J54+J61+J71</f>
        <v>1160464</v>
      </c>
    </row>
    <row r="46" spans="1:10" ht="13.5" customHeight="1">
      <c r="A46" s="382" t="s">
        <v>2646</v>
      </c>
      <c r="B46" s="382"/>
      <c r="C46" s="382"/>
      <c r="D46" s="382"/>
      <c r="E46" s="382"/>
      <c r="F46" s="382"/>
      <c r="G46" s="19">
        <v>38</v>
      </c>
      <c r="H46" s="20"/>
      <c r="I46" s="70">
        <f>SUM(I47:I53)</f>
        <v>178170</v>
      </c>
      <c r="J46" s="70">
        <f>SUM(J47:J53)</f>
        <v>118669</v>
      </c>
    </row>
    <row r="47" spans="1:10" ht="13.5" customHeight="1">
      <c r="A47" s="381" t="s">
        <v>970</v>
      </c>
      <c r="B47" s="381"/>
      <c r="C47" s="381"/>
      <c r="D47" s="381"/>
      <c r="E47" s="381"/>
      <c r="F47" s="381"/>
      <c r="G47" s="19">
        <v>39</v>
      </c>
      <c r="H47" s="20"/>
      <c r="I47" s="71">
        <v>172369</v>
      </c>
      <c r="J47" s="71">
        <v>114052</v>
      </c>
    </row>
    <row r="48" spans="1:10" ht="13.5" customHeight="1">
      <c r="A48" s="381" t="s">
        <v>971</v>
      </c>
      <c r="B48" s="381"/>
      <c r="C48" s="381"/>
      <c r="D48" s="381"/>
      <c r="E48" s="381"/>
      <c r="F48" s="381"/>
      <c r="G48" s="19">
        <v>40</v>
      </c>
      <c r="H48" s="20"/>
      <c r="I48" s="71">
        <v>0</v>
      </c>
      <c r="J48" s="71">
        <v>0</v>
      </c>
    </row>
    <row r="49" spans="1:10" ht="13.5" customHeight="1">
      <c r="A49" s="381" t="s">
        <v>972</v>
      </c>
      <c r="B49" s="381"/>
      <c r="C49" s="381"/>
      <c r="D49" s="381"/>
      <c r="E49" s="381"/>
      <c r="F49" s="381"/>
      <c r="G49" s="19">
        <v>41</v>
      </c>
      <c r="H49" s="20"/>
      <c r="I49" s="71">
        <v>0</v>
      </c>
      <c r="J49" s="71">
        <v>0</v>
      </c>
    </row>
    <row r="50" spans="1:10" ht="13.5" customHeight="1">
      <c r="A50" s="381" t="s">
        <v>973</v>
      </c>
      <c r="B50" s="381"/>
      <c r="C50" s="381"/>
      <c r="D50" s="381"/>
      <c r="E50" s="381"/>
      <c r="F50" s="381"/>
      <c r="G50" s="19">
        <v>42</v>
      </c>
      <c r="H50" s="20"/>
      <c r="I50" s="71">
        <v>5801</v>
      </c>
      <c r="J50" s="71">
        <v>4617</v>
      </c>
    </row>
    <row r="51" spans="1:10" ht="13.5" customHeight="1">
      <c r="A51" s="381" t="s">
        <v>974</v>
      </c>
      <c r="B51" s="381"/>
      <c r="C51" s="381"/>
      <c r="D51" s="381"/>
      <c r="E51" s="381"/>
      <c r="F51" s="381"/>
      <c r="G51" s="19">
        <v>43</v>
      </c>
      <c r="H51" s="20"/>
      <c r="I51" s="71">
        <v>0</v>
      </c>
      <c r="J51" s="71">
        <v>0</v>
      </c>
    </row>
    <row r="52" spans="1:10" ht="13.5" customHeight="1">
      <c r="A52" s="381" t="s">
        <v>975</v>
      </c>
      <c r="B52" s="381"/>
      <c r="C52" s="381"/>
      <c r="D52" s="381"/>
      <c r="E52" s="381"/>
      <c r="F52" s="381"/>
      <c r="G52" s="19">
        <v>44</v>
      </c>
      <c r="H52" s="20"/>
      <c r="I52" s="71">
        <v>0</v>
      </c>
      <c r="J52" s="71">
        <v>0</v>
      </c>
    </row>
    <row r="53" spans="1:10" ht="13.5" customHeight="1">
      <c r="A53" s="381" t="s">
        <v>347</v>
      </c>
      <c r="B53" s="381"/>
      <c r="C53" s="381"/>
      <c r="D53" s="381"/>
      <c r="E53" s="381"/>
      <c r="F53" s="381"/>
      <c r="G53" s="19">
        <v>45</v>
      </c>
      <c r="H53" s="20"/>
      <c r="I53" s="71">
        <v>0</v>
      </c>
      <c r="J53" s="71">
        <v>0</v>
      </c>
    </row>
    <row r="54" spans="1:10" ht="13.5" customHeight="1">
      <c r="A54" s="382" t="s">
        <v>2647</v>
      </c>
      <c r="B54" s="382"/>
      <c r="C54" s="382"/>
      <c r="D54" s="382"/>
      <c r="E54" s="382"/>
      <c r="F54" s="382"/>
      <c r="G54" s="19">
        <v>46</v>
      </c>
      <c r="H54" s="20"/>
      <c r="I54" s="70">
        <f>SUM(I55:I60)</f>
        <v>3260986</v>
      </c>
      <c r="J54" s="70">
        <f>SUM(J55:J60)</f>
        <v>809450</v>
      </c>
    </row>
    <row r="55" spans="1:10" ht="13.5" customHeight="1">
      <c r="A55" s="381" t="s">
        <v>348</v>
      </c>
      <c r="B55" s="381"/>
      <c r="C55" s="381"/>
      <c r="D55" s="381"/>
      <c r="E55" s="381"/>
      <c r="F55" s="381"/>
      <c r="G55" s="19">
        <v>47</v>
      </c>
      <c r="H55" s="20"/>
      <c r="I55" s="71">
        <v>51179</v>
      </c>
      <c r="J55" s="71">
        <v>0</v>
      </c>
    </row>
    <row r="56" spans="1:10" ht="13.5" customHeight="1">
      <c r="A56" s="381" t="s">
        <v>349</v>
      </c>
      <c r="B56" s="381"/>
      <c r="C56" s="381"/>
      <c r="D56" s="381"/>
      <c r="E56" s="381"/>
      <c r="F56" s="381"/>
      <c r="G56" s="19">
        <v>48</v>
      </c>
      <c r="H56" s="20"/>
      <c r="I56" s="71">
        <v>0</v>
      </c>
      <c r="J56" s="71">
        <v>0</v>
      </c>
    </row>
    <row r="57" spans="1:10" ht="13.5" customHeight="1">
      <c r="A57" s="381" t="s">
        <v>2635</v>
      </c>
      <c r="B57" s="381"/>
      <c r="C57" s="381"/>
      <c r="D57" s="381"/>
      <c r="E57" s="381"/>
      <c r="F57" s="381"/>
      <c r="G57" s="19">
        <v>49</v>
      </c>
      <c r="H57" s="20"/>
      <c r="I57" s="71">
        <v>1901039</v>
      </c>
      <c r="J57" s="71">
        <v>35742</v>
      </c>
    </row>
    <row r="58" spans="1:10" ht="13.5" customHeight="1">
      <c r="A58" s="381" t="s">
        <v>350</v>
      </c>
      <c r="B58" s="381"/>
      <c r="C58" s="381"/>
      <c r="D58" s="381"/>
      <c r="E58" s="381"/>
      <c r="F58" s="381"/>
      <c r="G58" s="19">
        <v>50</v>
      </c>
      <c r="H58" s="20"/>
      <c r="I58" s="71">
        <v>290846</v>
      </c>
      <c r="J58" s="71">
        <v>39000</v>
      </c>
    </row>
    <row r="59" spans="1:10" ht="13.5" customHeight="1">
      <c r="A59" s="381" t="s">
        <v>351</v>
      </c>
      <c r="B59" s="381"/>
      <c r="C59" s="381"/>
      <c r="D59" s="381"/>
      <c r="E59" s="381"/>
      <c r="F59" s="381"/>
      <c r="G59" s="19">
        <v>51</v>
      </c>
      <c r="H59" s="20"/>
      <c r="I59" s="71">
        <v>31640</v>
      </c>
      <c r="J59" s="71">
        <v>179670</v>
      </c>
    </row>
    <row r="60" spans="1:10" ht="13.5" customHeight="1">
      <c r="A60" s="381" t="s">
        <v>2637</v>
      </c>
      <c r="B60" s="381"/>
      <c r="C60" s="381"/>
      <c r="D60" s="381"/>
      <c r="E60" s="381"/>
      <c r="F60" s="381"/>
      <c r="G60" s="19">
        <v>52</v>
      </c>
      <c r="H60" s="20"/>
      <c r="I60" s="71">
        <v>986282</v>
      </c>
      <c r="J60" s="71">
        <v>555038</v>
      </c>
    </row>
    <row r="61" spans="1:10" ht="13.5" customHeight="1">
      <c r="A61" s="382" t="s">
        <v>2648</v>
      </c>
      <c r="B61" s="382"/>
      <c r="C61" s="382"/>
      <c r="D61" s="382"/>
      <c r="E61" s="382"/>
      <c r="F61" s="382"/>
      <c r="G61" s="19">
        <v>53</v>
      </c>
      <c r="H61" s="20"/>
      <c r="I61" s="70">
        <f>SUM(I62:I70)</f>
        <v>539368</v>
      </c>
      <c r="J61" s="70">
        <f>SUM(J62:J70)</f>
        <v>11556</v>
      </c>
    </row>
    <row r="62" spans="1:10" ht="13.5" customHeight="1">
      <c r="A62" s="381" t="s">
        <v>399</v>
      </c>
      <c r="B62" s="381"/>
      <c r="C62" s="381"/>
      <c r="D62" s="381"/>
      <c r="E62" s="381"/>
      <c r="F62" s="381"/>
      <c r="G62" s="19">
        <v>54</v>
      </c>
      <c r="H62" s="20"/>
      <c r="I62" s="71">
        <v>0</v>
      </c>
      <c r="J62" s="71">
        <v>0</v>
      </c>
    </row>
    <row r="63" spans="1:10" ht="13.5" customHeight="1">
      <c r="A63" s="381" t="s">
        <v>400</v>
      </c>
      <c r="B63" s="381"/>
      <c r="C63" s="381"/>
      <c r="D63" s="381"/>
      <c r="E63" s="381"/>
      <c r="F63" s="381"/>
      <c r="G63" s="19">
        <v>55</v>
      </c>
      <c r="H63" s="20"/>
      <c r="I63" s="71">
        <v>0</v>
      </c>
      <c r="J63" s="71">
        <v>0</v>
      </c>
    </row>
    <row r="64" spans="1:10" ht="13.5" customHeight="1">
      <c r="A64" s="381" t="s">
        <v>401</v>
      </c>
      <c r="B64" s="381"/>
      <c r="C64" s="381"/>
      <c r="D64" s="381"/>
      <c r="E64" s="381"/>
      <c r="F64" s="381"/>
      <c r="G64" s="19">
        <v>56</v>
      </c>
      <c r="H64" s="20"/>
      <c r="I64" s="71">
        <v>96868</v>
      </c>
      <c r="J64" s="71">
        <v>0</v>
      </c>
    </row>
    <row r="65" spans="1:10" ht="24.75" customHeight="1">
      <c r="A65" s="381" t="s">
        <v>2121</v>
      </c>
      <c r="B65" s="381"/>
      <c r="C65" s="381"/>
      <c r="D65" s="381"/>
      <c r="E65" s="381"/>
      <c r="F65" s="381"/>
      <c r="G65" s="19">
        <v>57</v>
      </c>
      <c r="H65" s="20"/>
      <c r="I65" s="71">
        <v>0</v>
      </c>
      <c r="J65" s="71">
        <v>0</v>
      </c>
    </row>
    <row r="66" spans="1:10" ht="24.75" customHeight="1">
      <c r="A66" s="381" t="s">
        <v>1812</v>
      </c>
      <c r="B66" s="381"/>
      <c r="C66" s="381"/>
      <c r="D66" s="381"/>
      <c r="E66" s="381"/>
      <c r="F66" s="381"/>
      <c r="G66" s="19">
        <v>58</v>
      </c>
      <c r="H66" s="20"/>
      <c r="I66" s="71">
        <v>0</v>
      </c>
      <c r="J66" s="71">
        <v>0</v>
      </c>
    </row>
    <row r="67" spans="1:10" ht="24.75" customHeight="1">
      <c r="A67" s="381" t="s">
        <v>2120</v>
      </c>
      <c r="B67" s="381"/>
      <c r="C67" s="381"/>
      <c r="D67" s="381"/>
      <c r="E67" s="381"/>
      <c r="F67" s="381"/>
      <c r="G67" s="19">
        <v>59</v>
      </c>
      <c r="H67" s="20"/>
      <c r="I67" s="71">
        <v>0</v>
      </c>
      <c r="J67" s="71">
        <v>0</v>
      </c>
    </row>
    <row r="68" spans="1:10" ht="13.5" customHeight="1">
      <c r="A68" s="381" t="s">
        <v>402</v>
      </c>
      <c r="B68" s="381"/>
      <c r="C68" s="381"/>
      <c r="D68" s="381"/>
      <c r="E68" s="381"/>
      <c r="F68" s="381"/>
      <c r="G68" s="19">
        <v>60</v>
      </c>
      <c r="H68" s="20"/>
      <c r="I68" s="71">
        <v>0</v>
      </c>
      <c r="J68" s="71">
        <v>0</v>
      </c>
    </row>
    <row r="69" spans="1:10" ht="13.5" customHeight="1">
      <c r="A69" s="381" t="s">
        <v>403</v>
      </c>
      <c r="B69" s="381"/>
      <c r="C69" s="381"/>
      <c r="D69" s="381"/>
      <c r="E69" s="381"/>
      <c r="F69" s="381"/>
      <c r="G69" s="19">
        <v>61</v>
      </c>
      <c r="H69" s="20"/>
      <c r="I69" s="71">
        <v>442500</v>
      </c>
      <c r="J69" s="71">
        <v>11556</v>
      </c>
    </row>
    <row r="70" spans="1:10" ht="13.5" customHeight="1">
      <c r="A70" s="381" t="s">
        <v>1038</v>
      </c>
      <c r="B70" s="381"/>
      <c r="C70" s="381"/>
      <c r="D70" s="381"/>
      <c r="E70" s="381"/>
      <c r="F70" s="381"/>
      <c r="G70" s="19">
        <v>62</v>
      </c>
      <c r="H70" s="20"/>
      <c r="I70" s="71">
        <v>0</v>
      </c>
      <c r="J70" s="71">
        <v>0</v>
      </c>
    </row>
    <row r="71" spans="1:10" ht="13.5" customHeight="1">
      <c r="A71" s="382" t="s">
        <v>2394</v>
      </c>
      <c r="B71" s="382"/>
      <c r="C71" s="382"/>
      <c r="D71" s="382"/>
      <c r="E71" s="382"/>
      <c r="F71" s="382"/>
      <c r="G71" s="19">
        <v>63</v>
      </c>
      <c r="H71" s="20"/>
      <c r="I71" s="71">
        <v>200812</v>
      </c>
      <c r="J71" s="71">
        <v>220789</v>
      </c>
    </row>
    <row r="72" spans="1:10" ht="24.75" customHeight="1">
      <c r="A72" s="383" t="s">
        <v>1558</v>
      </c>
      <c r="B72" s="383"/>
      <c r="C72" s="383"/>
      <c r="D72" s="383"/>
      <c r="E72" s="383"/>
      <c r="F72" s="383"/>
      <c r="G72" s="19">
        <v>64</v>
      </c>
      <c r="H72" s="20"/>
      <c r="I72" s="71">
        <v>0</v>
      </c>
      <c r="J72" s="71">
        <v>0</v>
      </c>
    </row>
    <row r="73" spans="1:10" ht="13.5" customHeight="1">
      <c r="A73" s="383" t="s">
        <v>2649</v>
      </c>
      <c r="B73" s="383"/>
      <c r="C73" s="383"/>
      <c r="D73" s="383"/>
      <c r="E73" s="383"/>
      <c r="F73" s="383"/>
      <c r="G73" s="19">
        <v>65</v>
      </c>
      <c r="H73" s="20"/>
      <c r="I73" s="70">
        <f>I9+I10+I45+I72</f>
        <v>266168210</v>
      </c>
      <c r="J73" s="70">
        <f>J9+J10+J45+J72</f>
        <v>76726901</v>
      </c>
    </row>
    <row r="74" spans="1:10" ht="13.5" customHeight="1">
      <c r="A74" s="384" t="s">
        <v>257</v>
      </c>
      <c r="B74" s="384"/>
      <c r="C74" s="384"/>
      <c r="D74" s="384"/>
      <c r="E74" s="384"/>
      <c r="F74" s="384"/>
      <c r="G74" s="21">
        <v>66</v>
      </c>
      <c r="H74" s="22"/>
      <c r="I74" s="72">
        <v>0</v>
      </c>
      <c r="J74" s="72">
        <v>0</v>
      </c>
    </row>
    <row r="75" spans="1:10" ht="13.5" customHeight="1">
      <c r="A75" s="400" t="s">
        <v>663</v>
      </c>
      <c r="B75" s="402"/>
      <c r="C75" s="402"/>
      <c r="D75" s="402"/>
      <c r="E75" s="402"/>
      <c r="F75" s="402"/>
      <c r="G75" s="402"/>
      <c r="H75" s="402"/>
      <c r="I75" s="402"/>
      <c r="J75" s="402"/>
    </row>
    <row r="76" spans="1:12" ht="13.5" customHeight="1">
      <c r="A76" s="383" t="s">
        <v>2650</v>
      </c>
      <c r="B76" s="383"/>
      <c r="C76" s="383"/>
      <c r="D76" s="383"/>
      <c r="E76" s="383"/>
      <c r="F76" s="383"/>
      <c r="G76" s="19">
        <v>67</v>
      </c>
      <c r="H76" s="20"/>
      <c r="I76" s="70">
        <f>I77+I78+I79+I85+I86+I90+I93+I96</f>
        <v>175343851</v>
      </c>
      <c r="J76" s="70">
        <f>J77+J78+J79+J85+J86+J90+J93+J96</f>
        <v>9631387</v>
      </c>
      <c r="L76" s="2" t="s">
        <v>2590</v>
      </c>
    </row>
    <row r="77" spans="1:10" ht="13.5" customHeight="1">
      <c r="A77" s="382" t="s">
        <v>935</v>
      </c>
      <c r="B77" s="382"/>
      <c r="C77" s="382"/>
      <c r="D77" s="382"/>
      <c r="E77" s="382"/>
      <c r="F77" s="382"/>
      <c r="G77" s="19">
        <v>68</v>
      </c>
      <c r="H77" s="20"/>
      <c r="I77" s="71">
        <v>157743374</v>
      </c>
      <c r="J77" s="71">
        <v>157743374</v>
      </c>
    </row>
    <row r="78" spans="1:12" ht="13.5" customHeight="1">
      <c r="A78" s="382" t="s">
        <v>936</v>
      </c>
      <c r="B78" s="382"/>
      <c r="C78" s="382"/>
      <c r="D78" s="382"/>
      <c r="E78" s="382"/>
      <c r="F78" s="382"/>
      <c r="G78" s="19">
        <v>69</v>
      </c>
      <c r="H78" s="20"/>
      <c r="I78" s="71">
        <v>0</v>
      </c>
      <c r="J78" s="71">
        <v>0</v>
      </c>
      <c r="L78" s="2" t="s">
        <v>2590</v>
      </c>
    </row>
    <row r="79" spans="1:12" ht="13.5" customHeight="1">
      <c r="A79" s="382" t="s">
        <v>2472</v>
      </c>
      <c r="B79" s="382"/>
      <c r="C79" s="382"/>
      <c r="D79" s="382"/>
      <c r="E79" s="382"/>
      <c r="F79" s="382"/>
      <c r="G79" s="19">
        <v>70</v>
      </c>
      <c r="H79" s="20"/>
      <c r="I79" s="70">
        <f>I80+I81-I82+I83+I84</f>
        <v>-11164</v>
      </c>
      <c r="J79" s="70">
        <f>J80+J81-J82+J83+J84</f>
        <v>-11164</v>
      </c>
      <c r="L79" s="2" t="s">
        <v>2590</v>
      </c>
    </row>
    <row r="80" spans="1:10" ht="13.5" customHeight="1">
      <c r="A80" s="381" t="s">
        <v>2640</v>
      </c>
      <c r="B80" s="381"/>
      <c r="C80" s="381"/>
      <c r="D80" s="381"/>
      <c r="E80" s="381"/>
      <c r="F80" s="381"/>
      <c r="G80" s="19">
        <v>71</v>
      </c>
      <c r="H80" s="20"/>
      <c r="I80" s="71">
        <v>0</v>
      </c>
      <c r="J80" s="71">
        <v>0</v>
      </c>
    </row>
    <row r="81" spans="1:10" ht="13.5" customHeight="1">
      <c r="A81" s="381" t="s">
        <v>2641</v>
      </c>
      <c r="B81" s="381"/>
      <c r="C81" s="381"/>
      <c r="D81" s="381"/>
      <c r="E81" s="381"/>
      <c r="F81" s="381"/>
      <c r="G81" s="19">
        <v>72</v>
      </c>
      <c r="H81" s="20"/>
      <c r="I81" s="71">
        <v>0</v>
      </c>
      <c r="J81" s="71">
        <v>0</v>
      </c>
    </row>
    <row r="82" spans="1:10" ht="13.5" customHeight="1">
      <c r="A82" s="381" t="s">
        <v>1133</v>
      </c>
      <c r="B82" s="381"/>
      <c r="C82" s="381"/>
      <c r="D82" s="381"/>
      <c r="E82" s="381"/>
      <c r="F82" s="381"/>
      <c r="G82" s="19">
        <v>73</v>
      </c>
      <c r="H82" s="20"/>
      <c r="I82" s="71">
        <v>11164</v>
      </c>
      <c r="J82" s="71">
        <v>11164</v>
      </c>
    </row>
    <row r="83" spans="1:10" ht="13.5" customHeight="1">
      <c r="A83" s="381" t="s">
        <v>1134</v>
      </c>
      <c r="B83" s="381"/>
      <c r="C83" s="381"/>
      <c r="D83" s="381"/>
      <c r="E83" s="381"/>
      <c r="F83" s="381"/>
      <c r="G83" s="19">
        <v>74</v>
      </c>
      <c r="H83" s="20"/>
      <c r="I83" s="71">
        <v>0</v>
      </c>
      <c r="J83" s="71">
        <v>0</v>
      </c>
    </row>
    <row r="84" spans="1:10" ht="13.5" customHeight="1">
      <c r="A84" s="381" t="s">
        <v>1135</v>
      </c>
      <c r="B84" s="381"/>
      <c r="C84" s="381"/>
      <c r="D84" s="381"/>
      <c r="E84" s="381"/>
      <c r="F84" s="381"/>
      <c r="G84" s="19">
        <v>75</v>
      </c>
      <c r="H84" s="20"/>
      <c r="I84" s="71">
        <v>0</v>
      </c>
      <c r="J84" s="71">
        <v>0</v>
      </c>
    </row>
    <row r="85" spans="1:12" ht="13.5" customHeight="1">
      <c r="A85" s="382" t="s">
        <v>1606</v>
      </c>
      <c r="B85" s="382"/>
      <c r="C85" s="382"/>
      <c r="D85" s="382"/>
      <c r="E85" s="382"/>
      <c r="F85" s="382"/>
      <c r="G85" s="19">
        <v>76</v>
      </c>
      <c r="H85" s="20"/>
      <c r="I85" s="71">
        <v>147376592</v>
      </c>
      <c r="J85" s="71">
        <v>10351402</v>
      </c>
      <c r="L85" s="2" t="s">
        <v>2590</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v>0</v>
      </c>
      <c r="J87" s="71">
        <v>0</v>
      </c>
    </row>
    <row r="88" spans="1:10" ht="13.5" customHeight="1">
      <c r="A88" s="381" t="s">
        <v>1137</v>
      </c>
      <c r="B88" s="381"/>
      <c r="C88" s="381"/>
      <c r="D88" s="381"/>
      <c r="E88" s="381"/>
      <c r="F88" s="381"/>
      <c r="G88" s="19">
        <v>79</v>
      </c>
      <c r="H88" s="20"/>
      <c r="I88" s="71">
        <v>0</v>
      </c>
      <c r="J88" s="71">
        <v>0</v>
      </c>
    </row>
    <row r="89" spans="1:10" ht="13.5" customHeight="1">
      <c r="A89" s="381" t="s">
        <v>1138</v>
      </c>
      <c r="B89" s="381"/>
      <c r="C89" s="381"/>
      <c r="D89" s="381"/>
      <c r="E89" s="381"/>
      <c r="F89" s="381"/>
      <c r="G89" s="19">
        <v>80</v>
      </c>
      <c r="H89" s="20"/>
      <c r="I89" s="71">
        <v>0</v>
      </c>
      <c r="J89" s="71">
        <v>0</v>
      </c>
    </row>
    <row r="90" spans="1:12" ht="13.5" customHeight="1">
      <c r="A90" s="382" t="s">
        <v>2651</v>
      </c>
      <c r="B90" s="382"/>
      <c r="C90" s="382"/>
      <c r="D90" s="382"/>
      <c r="E90" s="382"/>
      <c r="F90" s="382"/>
      <c r="G90" s="19">
        <v>81</v>
      </c>
      <c r="H90" s="20"/>
      <c r="I90" s="70">
        <f>I91-I92</f>
        <v>-127328090</v>
      </c>
      <c r="J90" s="70">
        <f>J91-J92</f>
        <v>-129026570</v>
      </c>
      <c r="L90" s="2" t="s">
        <v>2590</v>
      </c>
    </row>
    <row r="91" spans="1:10" ht="13.5" customHeight="1">
      <c r="A91" s="381" t="s">
        <v>1139</v>
      </c>
      <c r="B91" s="381"/>
      <c r="C91" s="381"/>
      <c r="D91" s="381"/>
      <c r="E91" s="381"/>
      <c r="F91" s="381"/>
      <c r="G91" s="19">
        <v>82</v>
      </c>
      <c r="H91" s="20"/>
      <c r="I91" s="71">
        <v>0</v>
      </c>
      <c r="J91" s="71">
        <v>0</v>
      </c>
    </row>
    <row r="92" spans="1:10" ht="13.5" customHeight="1">
      <c r="A92" s="381" t="s">
        <v>1140</v>
      </c>
      <c r="B92" s="381"/>
      <c r="C92" s="381"/>
      <c r="D92" s="381"/>
      <c r="E92" s="381"/>
      <c r="F92" s="381"/>
      <c r="G92" s="19">
        <v>83</v>
      </c>
      <c r="H92" s="20"/>
      <c r="I92" s="71">
        <v>127328090</v>
      </c>
      <c r="J92" s="71">
        <v>129026570</v>
      </c>
    </row>
    <row r="93" spans="1:12" ht="13.5" customHeight="1">
      <c r="A93" s="382" t="s">
        <v>2652</v>
      </c>
      <c r="B93" s="382"/>
      <c r="C93" s="382"/>
      <c r="D93" s="382"/>
      <c r="E93" s="382"/>
      <c r="F93" s="382"/>
      <c r="G93" s="19">
        <v>84</v>
      </c>
      <c r="H93" s="20"/>
      <c r="I93" s="70">
        <f>I94-I95</f>
        <v>-2436861</v>
      </c>
      <c r="J93" s="70">
        <f>J94-J95</f>
        <v>-29425655</v>
      </c>
      <c r="L93" s="2" t="s">
        <v>2590</v>
      </c>
    </row>
    <row r="94" spans="1:10" ht="13.5" customHeight="1">
      <c r="A94" s="381" t="s">
        <v>2639</v>
      </c>
      <c r="B94" s="381"/>
      <c r="C94" s="381"/>
      <c r="D94" s="381"/>
      <c r="E94" s="381"/>
      <c r="F94" s="381"/>
      <c r="G94" s="19">
        <v>85</v>
      </c>
      <c r="H94" s="20"/>
      <c r="I94" s="71">
        <v>0</v>
      </c>
      <c r="J94" s="71">
        <v>0</v>
      </c>
    </row>
    <row r="95" spans="1:10" ht="13.5" customHeight="1">
      <c r="A95" s="381" t="s">
        <v>1141</v>
      </c>
      <c r="B95" s="381"/>
      <c r="C95" s="381"/>
      <c r="D95" s="381"/>
      <c r="E95" s="381"/>
      <c r="F95" s="381"/>
      <c r="G95" s="19">
        <v>86</v>
      </c>
      <c r="H95" s="20"/>
      <c r="I95" s="71">
        <v>2436861</v>
      </c>
      <c r="J95" s="71">
        <v>29425655</v>
      </c>
    </row>
    <row r="96" spans="1:12" ht="13.5" customHeight="1">
      <c r="A96" s="382" t="s">
        <v>2190</v>
      </c>
      <c r="B96" s="382"/>
      <c r="C96" s="382"/>
      <c r="D96" s="382"/>
      <c r="E96" s="382"/>
      <c r="F96" s="382"/>
      <c r="G96" s="19">
        <v>87</v>
      </c>
      <c r="H96" s="20"/>
      <c r="I96" s="71">
        <v>0</v>
      </c>
      <c r="J96" s="71">
        <v>0</v>
      </c>
      <c r="L96" s="2" t="s">
        <v>2590</v>
      </c>
    </row>
    <row r="97" spans="1:10" ht="13.5" customHeight="1">
      <c r="A97" s="383" t="s">
        <v>2653</v>
      </c>
      <c r="B97" s="383"/>
      <c r="C97" s="383"/>
      <c r="D97" s="383"/>
      <c r="E97" s="383"/>
      <c r="F97" s="383"/>
      <c r="G97" s="19">
        <v>88</v>
      </c>
      <c r="H97" s="20"/>
      <c r="I97" s="70">
        <f>SUM(I98:I103)</f>
        <v>0</v>
      </c>
      <c r="J97" s="70">
        <f>SUM(J98:J103)</f>
        <v>3111684</v>
      </c>
    </row>
    <row r="98" spans="1:10" ht="13.5" customHeight="1">
      <c r="A98" s="381" t="s">
        <v>901</v>
      </c>
      <c r="B98" s="381"/>
      <c r="C98" s="381"/>
      <c r="D98" s="381"/>
      <c r="E98" s="381"/>
      <c r="F98" s="381"/>
      <c r="G98" s="19">
        <v>89</v>
      </c>
      <c r="H98" s="20"/>
      <c r="I98" s="71">
        <v>0</v>
      </c>
      <c r="J98" s="71">
        <v>0</v>
      </c>
    </row>
    <row r="99" spans="1:10" ht="13.5" customHeight="1">
      <c r="A99" s="381" t="s">
        <v>902</v>
      </c>
      <c r="B99" s="381"/>
      <c r="C99" s="381"/>
      <c r="D99" s="381"/>
      <c r="E99" s="381"/>
      <c r="F99" s="381"/>
      <c r="G99" s="19">
        <v>90</v>
      </c>
      <c r="H99" s="20"/>
      <c r="I99" s="71">
        <v>0</v>
      </c>
      <c r="J99" s="71">
        <v>0</v>
      </c>
    </row>
    <row r="100" spans="1:10" ht="13.5" customHeight="1">
      <c r="A100" s="381" t="s">
        <v>2638</v>
      </c>
      <c r="B100" s="381"/>
      <c r="C100" s="381"/>
      <c r="D100" s="381"/>
      <c r="E100" s="381"/>
      <c r="F100" s="381"/>
      <c r="G100" s="19">
        <v>91</v>
      </c>
      <c r="H100" s="20"/>
      <c r="I100" s="71">
        <v>0</v>
      </c>
      <c r="J100" s="71">
        <v>3111684</v>
      </c>
    </row>
    <row r="101" spans="1:10" ht="13.5" customHeight="1">
      <c r="A101" s="381" t="s">
        <v>1142</v>
      </c>
      <c r="B101" s="381"/>
      <c r="C101" s="381"/>
      <c r="D101" s="381"/>
      <c r="E101" s="381"/>
      <c r="F101" s="381"/>
      <c r="G101" s="19">
        <v>92</v>
      </c>
      <c r="H101" s="20"/>
      <c r="I101" s="71">
        <v>0</v>
      </c>
      <c r="J101" s="71">
        <v>0</v>
      </c>
    </row>
    <row r="102" spans="1:10" ht="13.5" customHeight="1">
      <c r="A102" s="381" t="s">
        <v>501</v>
      </c>
      <c r="B102" s="381"/>
      <c r="C102" s="381"/>
      <c r="D102" s="381"/>
      <c r="E102" s="381"/>
      <c r="F102" s="381"/>
      <c r="G102" s="19">
        <v>93</v>
      </c>
      <c r="H102" s="20"/>
      <c r="I102" s="71">
        <v>0</v>
      </c>
      <c r="J102" s="71">
        <v>0</v>
      </c>
    </row>
    <row r="103" spans="1:10" ht="13.5" customHeight="1">
      <c r="A103" s="381" t="s">
        <v>2191</v>
      </c>
      <c r="B103" s="381"/>
      <c r="C103" s="381"/>
      <c r="D103" s="381"/>
      <c r="E103" s="381"/>
      <c r="F103" s="381"/>
      <c r="G103" s="19">
        <v>94</v>
      </c>
      <c r="H103" s="20"/>
      <c r="I103" s="71">
        <v>0</v>
      </c>
      <c r="J103" s="71">
        <v>0</v>
      </c>
    </row>
    <row r="104" spans="1:10" ht="13.5" customHeight="1">
      <c r="A104" s="383" t="s">
        <v>2654</v>
      </c>
      <c r="B104" s="383"/>
      <c r="C104" s="383"/>
      <c r="D104" s="383"/>
      <c r="E104" s="383"/>
      <c r="F104" s="383"/>
      <c r="G104" s="19">
        <v>95</v>
      </c>
      <c r="H104" s="20"/>
      <c r="I104" s="70">
        <f>SUM(I105:I115)</f>
        <v>36223287</v>
      </c>
      <c r="J104" s="70">
        <f>SUM(J105:J115)</f>
        <v>3980607</v>
      </c>
    </row>
    <row r="105" spans="1:10" ht="13.5" customHeight="1">
      <c r="A105" s="381" t="s">
        <v>2192</v>
      </c>
      <c r="B105" s="381"/>
      <c r="C105" s="381"/>
      <c r="D105" s="381"/>
      <c r="E105" s="381"/>
      <c r="F105" s="381"/>
      <c r="G105" s="19">
        <v>96</v>
      </c>
      <c r="H105" s="20"/>
      <c r="I105" s="71">
        <v>0</v>
      </c>
      <c r="J105" s="71">
        <v>0</v>
      </c>
    </row>
    <row r="106" spans="1:10" ht="13.5" customHeight="1">
      <c r="A106" s="381" t="s">
        <v>356</v>
      </c>
      <c r="B106" s="381"/>
      <c r="C106" s="381"/>
      <c r="D106" s="381"/>
      <c r="E106" s="381"/>
      <c r="F106" s="381"/>
      <c r="G106" s="19">
        <v>97</v>
      </c>
      <c r="H106" s="20"/>
      <c r="I106" s="71">
        <v>0</v>
      </c>
      <c r="J106" s="71">
        <v>0</v>
      </c>
    </row>
    <row r="107" spans="1:10" ht="13.5" customHeight="1">
      <c r="A107" s="381" t="s">
        <v>360</v>
      </c>
      <c r="B107" s="381"/>
      <c r="C107" s="381"/>
      <c r="D107" s="381"/>
      <c r="E107" s="381"/>
      <c r="F107" s="381"/>
      <c r="G107" s="19">
        <v>98</v>
      </c>
      <c r="H107" s="20"/>
      <c r="I107" s="71">
        <v>0</v>
      </c>
      <c r="J107" s="71">
        <v>0</v>
      </c>
    </row>
    <row r="108" spans="1:10" ht="24.75" customHeight="1">
      <c r="A108" s="381" t="s">
        <v>1559</v>
      </c>
      <c r="B108" s="381"/>
      <c r="C108" s="381"/>
      <c r="D108" s="381"/>
      <c r="E108" s="381"/>
      <c r="F108" s="381"/>
      <c r="G108" s="19">
        <v>99</v>
      </c>
      <c r="H108" s="20"/>
      <c r="I108" s="71">
        <v>0</v>
      </c>
      <c r="J108" s="71">
        <v>0</v>
      </c>
    </row>
    <row r="109" spans="1:10" ht="13.5" customHeight="1">
      <c r="A109" s="381" t="s">
        <v>361</v>
      </c>
      <c r="B109" s="381"/>
      <c r="C109" s="381"/>
      <c r="D109" s="381"/>
      <c r="E109" s="381"/>
      <c r="F109" s="381"/>
      <c r="G109" s="19">
        <v>100</v>
      </c>
      <c r="H109" s="20"/>
      <c r="I109" s="71">
        <v>0</v>
      </c>
      <c r="J109" s="71">
        <v>0</v>
      </c>
    </row>
    <row r="110" spans="1:10" ht="13.5" customHeight="1">
      <c r="A110" s="381" t="s">
        <v>362</v>
      </c>
      <c r="B110" s="381"/>
      <c r="C110" s="381"/>
      <c r="D110" s="381"/>
      <c r="E110" s="381"/>
      <c r="F110" s="381"/>
      <c r="G110" s="19">
        <v>101</v>
      </c>
      <c r="H110" s="20"/>
      <c r="I110" s="71">
        <v>66635</v>
      </c>
      <c r="J110" s="71">
        <v>0</v>
      </c>
    </row>
    <row r="111" spans="1:10" ht="13.5" customHeight="1">
      <c r="A111" s="381" t="s">
        <v>357</v>
      </c>
      <c r="B111" s="381"/>
      <c r="C111" s="381"/>
      <c r="D111" s="381"/>
      <c r="E111" s="381"/>
      <c r="F111" s="381"/>
      <c r="G111" s="19">
        <v>102</v>
      </c>
      <c r="H111" s="20"/>
      <c r="I111" s="71">
        <v>0</v>
      </c>
      <c r="J111" s="71">
        <v>0</v>
      </c>
    </row>
    <row r="112" spans="1:10" ht="13.5" customHeight="1">
      <c r="A112" s="381" t="s">
        <v>358</v>
      </c>
      <c r="B112" s="381"/>
      <c r="C112" s="381"/>
      <c r="D112" s="381"/>
      <c r="E112" s="381"/>
      <c r="F112" s="381"/>
      <c r="G112" s="19">
        <v>103</v>
      </c>
      <c r="H112" s="20"/>
      <c r="I112" s="71">
        <v>3295549</v>
      </c>
      <c r="J112" s="71">
        <v>1159566</v>
      </c>
    </row>
    <row r="113" spans="1:10" ht="13.5" customHeight="1">
      <c r="A113" s="381" t="s">
        <v>359</v>
      </c>
      <c r="B113" s="381"/>
      <c r="C113" s="381"/>
      <c r="D113" s="381"/>
      <c r="E113" s="381"/>
      <c r="F113" s="381"/>
      <c r="G113" s="19">
        <v>104</v>
      </c>
      <c r="H113" s="20"/>
      <c r="I113" s="71">
        <v>0</v>
      </c>
      <c r="J113" s="71">
        <v>0</v>
      </c>
    </row>
    <row r="114" spans="1:10" ht="13.5" customHeight="1">
      <c r="A114" s="381" t="s">
        <v>502</v>
      </c>
      <c r="B114" s="381"/>
      <c r="C114" s="381"/>
      <c r="D114" s="381"/>
      <c r="E114" s="381"/>
      <c r="F114" s="381"/>
      <c r="G114" s="19">
        <v>105</v>
      </c>
      <c r="H114" s="20"/>
      <c r="I114" s="71">
        <v>547890</v>
      </c>
      <c r="J114" s="71">
        <v>548782</v>
      </c>
    </row>
    <row r="115" spans="1:10" ht="13.5" customHeight="1">
      <c r="A115" s="381" t="s">
        <v>503</v>
      </c>
      <c r="B115" s="381"/>
      <c r="C115" s="381"/>
      <c r="D115" s="381"/>
      <c r="E115" s="381"/>
      <c r="F115" s="381"/>
      <c r="G115" s="19">
        <v>106</v>
      </c>
      <c r="H115" s="20"/>
      <c r="I115" s="71">
        <v>32313213</v>
      </c>
      <c r="J115" s="71">
        <v>2272259</v>
      </c>
    </row>
    <row r="116" spans="1:10" ht="13.5" customHeight="1">
      <c r="A116" s="383" t="s">
        <v>2655</v>
      </c>
      <c r="B116" s="383"/>
      <c r="C116" s="383"/>
      <c r="D116" s="383"/>
      <c r="E116" s="383"/>
      <c r="F116" s="383"/>
      <c r="G116" s="19">
        <v>107</v>
      </c>
      <c r="H116" s="20"/>
      <c r="I116" s="70">
        <f>SUM(I117:I130)</f>
        <v>54601072</v>
      </c>
      <c r="J116" s="70">
        <f>SUM(J117:J130)</f>
        <v>60003223</v>
      </c>
    </row>
    <row r="117" spans="1:10" ht="13.5" customHeight="1">
      <c r="A117" s="381" t="s">
        <v>2192</v>
      </c>
      <c r="B117" s="381"/>
      <c r="C117" s="381"/>
      <c r="D117" s="381"/>
      <c r="E117" s="381"/>
      <c r="F117" s="381"/>
      <c r="G117" s="19">
        <v>108</v>
      </c>
      <c r="H117" s="20"/>
      <c r="I117" s="71">
        <v>649053</v>
      </c>
      <c r="J117" s="71">
        <v>0</v>
      </c>
    </row>
    <row r="118" spans="1:10" ht="13.5" customHeight="1">
      <c r="A118" s="381" t="s">
        <v>356</v>
      </c>
      <c r="B118" s="381"/>
      <c r="C118" s="381"/>
      <c r="D118" s="381"/>
      <c r="E118" s="381"/>
      <c r="F118" s="381"/>
      <c r="G118" s="19">
        <v>109</v>
      </c>
      <c r="H118" s="20"/>
      <c r="I118" s="71">
        <v>30</v>
      </c>
      <c r="J118" s="71">
        <v>0</v>
      </c>
    </row>
    <row r="119" spans="1:10" ht="13.5" customHeight="1">
      <c r="A119" s="381" t="s">
        <v>360</v>
      </c>
      <c r="B119" s="381"/>
      <c r="C119" s="381"/>
      <c r="D119" s="381"/>
      <c r="E119" s="381"/>
      <c r="F119" s="381"/>
      <c r="G119" s="19">
        <v>110</v>
      </c>
      <c r="H119" s="20"/>
      <c r="I119" s="71">
        <v>0</v>
      </c>
      <c r="J119" s="71">
        <v>0</v>
      </c>
    </row>
    <row r="120" spans="1:10" ht="24.75" customHeight="1">
      <c r="A120" s="381" t="s">
        <v>1559</v>
      </c>
      <c r="B120" s="381"/>
      <c r="C120" s="381"/>
      <c r="D120" s="381"/>
      <c r="E120" s="381"/>
      <c r="F120" s="381"/>
      <c r="G120" s="19">
        <v>111</v>
      </c>
      <c r="H120" s="20"/>
      <c r="I120" s="71">
        <v>0</v>
      </c>
      <c r="J120" s="71">
        <v>0</v>
      </c>
    </row>
    <row r="121" spans="1:10" ht="13.5" customHeight="1">
      <c r="A121" s="381" t="s">
        <v>361</v>
      </c>
      <c r="B121" s="381"/>
      <c r="C121" s="381"/>
      <c r="D121" s="381"/>
      <c r="E121" s="381"/>
      <c r="F121" s="381"/>
      <c r="G121" s="19">
        <v>112</v>
      </c>
      <c r="H121" s="20"/>
      <c r="I121" s="71">
        <v>817088</v>
      </c>
      <c r="J121" s="71">
        <v>19337800</v>
      </c>
    </row>
    <row r="122" spans="1:10" ht="13.5" customHeight="1">
      <c r="A122" s="381" t="s">
        <v>362</v>
      </c>
      <c r="B122" s="381"/>
      <c r="C122" s="381"/>
      <c r="D122" s="381"/>
      <c r="E122" s="381"/>
      <c r="F122" s="381"/>
      <c r="G122" s="19">
        <v>113</v>
      </c>
      <c r="H122" s="20"/>
      <c r="I122" s="71">
        <v>36470827</v>
      </c>
      <c r="J122" s="71">
        <v>36598295</v>
      </c>
    </row>
    <row r="123" spans="1:10" ht="13.5" customHeight="1">
      <c r="A123" s="381" t="s">
        <v>357</v>
      </c>
      <c r="B123" s="381"/>
      <c r="C123" s="381"/>
      <c r="D123" s="381"/>
      <c r="E123" s="381"/>
      <c r="F123" s="381"/>
      <c r="G123" s="19">
        <v>114</v>
      </c>
      <c r="H123" s="20"/>
      <c r="I123" s="71">
        <v>718576</v>
      </c>
      <c r="J123" s="71">
        <v>368704</v>
      </c>
    </row>
    <row r="124" spans="1:10" ht="13.5" customHeight="1">
      <c r="A124" s="381" t="s">
        <v>358</v>
      </c>
      <c r="B124" s="381"/>
      <c r="C124" s="381"/>
      <c r="D124" s="381"/>
      <c r="E124" s="381"/>
      <c r="F124" s="381"/>
      <c r="G124" s="19">
        <v>115</v>
      </c>
      <c r="H124" s="20"/>
      <c r="I124" s="71">
        <v>11418626</v>
      </c>
      <c r="J124" s="71">
        <v>2944261</v>
      </c>
    </row>
    <row r="125" spans="1:10" ht="13.5" customHeight="1">
      <c r="A125" s="381" t="s">
        <v>359</v>
      </c>
      <c r="B125" s="381"/>
      <c r="C125" s="381"/>
      <c r="D125" s="381"/>
      <c r="E125" s="381"/>
      <c r="F125" s="381"/>
      <c r="G125" s="19">
        <v>116</v>
      </c>
      <c r="H125" s="20"/>
      <c r="I125" s="71">
        <v>0</v>
      </c>
      <c r="J125" s="71">
        <v>0</v>
      </c>
    </row>
    <row r="126" spans="1:10" ht="13.5" customHeight="1">
      <c r="A126" s="381" t="s">
        <v>363</v>
      </c>
      <c r="B126" s="381"/>
      <c r="C126" s="381"/>
      <c r="D126" s="381"/>
      <c r="E126" s="381"/>
      <c r="F126" s="381"/>
      <c r="G126" s="19">
        <v>117</v>
      </c>
      <c r="H126" s="20"/>
      <c r="I126" s="71">
        <v>1072850</v>
      </c>
      <c r="J126" s="71">
        <v>220079</v>
      </c>
    </row>
    <row r="127" spans="1:10" ht="13.5" customHeight="1">
      <c r="A127" s="381" t="s">
        <v>364</v>
      </c>
      <c r="B127" s="381"/>
      <c r="C127" s="381"/>
      <c r="D127" s="381"/>
      <c r="E127" s="381"/>
      <c r="F127" s="381"/>
      <c r="G127" s="19">
        <v>118</v>
      </c>
      <c r="H127" s="20"/>
      <c r="I127" s="71">
        <v>3415225</v>
      </c>
      <c r="J127" s="71">
        <v>267797</v>
      </c>
    </row>
    <row r="128" spans="1:10" ht="13.5" customHeight="1">
      <c r="A128" s="381" t="s">
        <v>365</v>
      </c>
      <c r="B128" s="381"/>
      <c r="C128" s="381"/>
      <c r="D128" s="381"/>
      <c r="E128" s="381"/>
      <c r="F128" s="381"/>
      <c r="G128" s="19">
        <v>119</v>
      </c>
      <c r="H128" s="20"/>
      <c r="I128" s="71">
        <v>0</v>
      </c>
      <c r="J128" s="71">
        <v>0</v>
      </c>
    </row>
    <row r="129" spans="1:10" ht="13.5" customHeight="1">
      <c r="A129" s="381" t="s">
        <v>398</v>
      </c>
      <c r="B129" s="381"/>
      <c r="C129" s="381"/>
      <c r="D129" s="381"/>
      <c r="E129" s="381"/>
      <c r="F129" s="381"/>
      <c r="G129" s="19">
        <v>120</v>
      </c>
      <c r="H129" s="20"/>
      <c r="I129" s="71">
        <v>0</v>
      </c>
      <c r="J129" s="71">
        <v>0</v>
      </c>
    </row>
    <row r="130" spans="1:10" ht="13.5" customHeight="1">
      <c r="A130" s="381" t="s">
        <v>1039</v>
      </c>
      <c r="B130" s="381"/>
      <c r="C130" s="381"/>
      <c r="D130" s="381"/>
      <c r="E130" s="381"/>
      <c r="F130" s="381"/>
      <c r="G130" s="19">
        <v>121</v>
      </c>
      <c r="H130" s="20"/>
      <c r="I130" s="71">
        <v>38797</v>
      </c>
      <c r="J130" s="71">
        <v>266287</v>
      </c>
    </row>
    <row r="131" spans="1:10" ht="24.75" customHeight="1">
      <c r="A131" s="383" t="s">
        <v>1560</v>
      </c>
      <c r="B131" s="383"/>
      <c r="C131" s="383"/>
      <c r="D131" s="383"/>
      <c r="E131" s="383"/>
      <c r="F131" s="383"/>
      <c r="G131" s="19">
        <v>122</v>
      </c>
      <c r="H131" s="20"/>
      <c r="I131" s="71">
        <v>0</v>
      </c>
      <c r="J131" s="71">
        <v>0</v>
      </c>
    </row>
    <row r="132" spans="1:10" ht="13.5" customHeight="1">
      <c r="A132" s="383" t="s">
        <v>2656</v>
      </c>
      <c r="B132" s="383"/>
      <c r="C132" s="383"/>
      <c r="D132" s="383"/>
      <c r="E132" s="383"/>
      <c r="F132" s="383"/>
      <c r="G132" s="19">
        <v>123</v>
      </c>
      <c r="H132" s="20"/>
      <c r="I132" s="70">
        <f>I76+I97+I104+I116+I131</f>
        <v>266168210</v>
      </c>
      <c r="J132" s="70">
        <f>J76+J97+J104+J116+J131</f>
        <v>76726901</v>
      </c>
    </row>
    <row r="133" spans="1:10" ht="13.5" customHeight="1">
      <c r="A133" s="384" t="s">
        <v>662</v>
      </c>
      <c r="B133" s="384"/>
      <c r="C133" s="384"/>
      <c r="D133" s="384"/>
      <c r="E133" s="384"/>
      <c r="F133" s="384"/>
      <c r="G133" s="21">
        <v>124</v>
      </c>
      <c r="H133" s="22"/>
      <c r="I133" s="72">
        <v>0</v>
      </c>
      <c r="J133" s="72">
        <v>0</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0" activePane="bottomLeft" state="frozen"/>
      <selection pane="topLeft" activeCell="A1" sqref="A1"/>
      <selection pane="bottomLeft" activeCell="J64" sqref="J64"/>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2591</v>
      </c>
      <c r="Q2" s="74">
        <f>IF(OR(MIN(I8:I105)&lt;0,MAX(I8:I105)&gt;0),1,0)</f>
        <v>1</v>
      </c>
      <c r="R2" s="73" t="s">
        <v>2585</v>
      </c>
    </row>
    <row r="3" spans="1:18" s="2" customFormat="1" ht="19.5" customHeight="1" thickBot="1">
      <c r="A3" s="390" t="str">
        <f>"za razdoblje "&amp;IF(RefStr!C4&lt;&gt;"",TEXT(RefStr!C4,"DD.MM.YYYY."),"__.__.____.")&amp;" do "&amp;IF(RefStr!F4&lt;&gt;"",TEXT(RefStr!F4,"DD.MM.YYYY."),"__.__.____.")</f>
        <v>za razdoblje 01.01.2019. do 31.12.2019.</v>
      </c>
      <c r="B3" s="418"/>
      <c r="C3" s="418"/>
      <c r="D3" s="418"/>
      <c r="E3" s="418"/>
      <c r="F3" s="418"/>
      <c r="G3" s="418"/>
      <c r="H3" s="418"/>
      <c r="I3" s="419"/>
      <c r="J3" s="386"/>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94858559872; HOTELI VODICE d.d.</v>
      </c>
      <c r="B5" s="414"/>
      <c r="C5" s="414"/>
      <c r="D5" s="414"/>
      <c r="E5" s="414"/>
      <c r="F5" s="414"/>
      <c r="G5" s="414"/>
      <c r="H5" s="414"/>
      <c r="I5" s="414"/>
      <c r="J5" s="415"/>
      <c r="Q5" s="2">
        <f>IF(OR(MIN(I85:I87,I103:I105)&lt;0,MAX(I85:I87,I103:I105)&gt;0),1,0)</f>
        <v>0</v>
      </c>
      <c r="R5" s="73" t="s">
        <v>2587</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2588</v>
      </c>
    </row>
    <row r="7" spans="1:18" s="2" customFormat="1" ht="13.5" customHeight="1">
      <c r="A7" s="398">
        <v>1</v>
      </c>
      <c r="B7" s="399"/>
      <c r="C7" s="399"/>
      <c r="D7" s="399"/>
      <c r="E7" s="399"/>
      <c r="F7" s="399"/>
      <c r="G7" s="105">
        <v>2</v>
      </c>
      <c r="H7" s="105">
        <v>3</v>
      </c>
      <c r="I7" s="104">
        <v>4</v>
      </c>
      <c r="J7" s="106">
        <v>5</v>
      </c>
      <c r="Q7" s="2">
        <f>IF(OR(MIN(RDG!I89:J101)&lt;0,MAX(RDG!I89:J101)&gt;0),1,0)</f>
        <v>1</v>
      </c>
      <c r="R7" s="73" t="s">
        <v>800</v>
      </c>
    </row>
    <row r="8" spans="1:18" s="2" customFormat="1" ht="13.5" customHeight="1">
      <c r="A8" s="420" t="s">
        <v>1836</v>
      </c>
      <c r="B8" s="420"/>
      <c r="C8" s="420"/>
      <c r="D8" s="420"/>
      <c r="E8" s="420"/>
      <c r="F8" s="420"/>
      <c r="G8" s="17">
        <v>125</v>
      </c>
      <c r="H8" s="18"/>
      <c r="I8" s="84">
        <f>SUM(I9:I13)</f>
        <v>19497053</v>
      </c>
      <c r="J8" s="84">
        <f>SUM(J9:J13)</f>
        <v>18546861</v>
      </c>
      <c r="Q8" s="2">
        <f>IF(OR(MIN(I70:J75)&lt;&gt;0,MAX(I70:J75)&lt;&gt;0),1,0)</f>
        <v>0</v>
      </c>
      <c r="R8" s="73" t="s">
        <v>2596</v>
      </c>
    </row>
    <row r="9" spans="1:10" s="2" customFormat="1" ht="13.5" customHeight="1">
      <c r="A9" s="381" t="s">
        <v>1434</v>
      </c>
      <c r="B9" s="381"/>
      <c r="C9" s="381"/>
      <c r="D9" s="381"/>
      <c r="E9" s="381"/>
      <c r="F9" s="381"/>
      <c r="G9" s="19">
        <v>126</v>
      </c>
      <c r="H9" s="20"/>
      <c r="I9" s="71">
        <v>2362883</v>
      </c>
      <c r="J9" s="71">
        <v>3168031</v>
      </c>
    </row>
    <row r="10" spans="1:10" s="2" customFormat="1" ht="13.5" customHeight="1">
      <c r="A10" s="381" t="s">
        <v>730</v>
      </c>
      <c r="B10" s="381"/>
      <c r="C10" s="381"/>
      <c r="D10" s="381"/>
      <c r="E10" s="381"/>
      <c r="F10" s="381"/>
      <c r="G10" s="19">
        <v>127</v>
      </c>
      <c r="H10" s="20"/>
      <c r="I10" s="71">
        <v>16150290</v>
      </c>
      <c r="J10" s="71">
        <v>13875992</v>
      </c>
    </row>
    <row r="11" spans="1:10" s="2" customFormat="1" ht="13.5" customHeight="1">
      <c r="A11" s="381" t="s">
        <v>1435</v>
      </c>
      <c r="B11" s="381"/>
      <c r="C11" s="381"/>
      <c r="D11" s="381"/>
      <c r="E11" s="381"/>
      <c r="F11" s="381"/>
      <c r="G11" s="19">
        <v>128</v>
      </c>
      <c r="H11" s="20"/>
      <c r="I11" s="71">
        <v>0</v>
      </c>
      <c r="J11" s="71">
        <v>0</v>
      </c>
    </row>
    <row r="12" spans="1:10" s="2" customFormat="1" ht="13.5" customHeight="1">
      <c r="A12" s="381" t="s">
        <v>1436</v>
      </c>
      <c r="B12" s="381"/>
      <c r="C12" s="381"/>
      <c r="D12" s="381"/>
      <c r="E12" s="381"/>
      <c r="F12" s="381"/>
      <c r="G12" s="19">
        <v>129</v>
      </c>
      <c r="H12" s="20"/>
      <c r="I12" s="71">
        <v>826507</v>
      </c>
      <c r="J12" s="71">
        <v>518135</v>
      </c>
    </row>
    <row r="13" spans="1:10" s="2" customFormat="1" ht="13.5" customHeight="1">
      <c r="A13" s="381" t="s">
        <v>2509</v>
      </c>
      <c r="B13" s="381"/>
      <c r="C13" s="381"/>
      <c r="D13" s="381"/>
      <c r="E13" s="381"/>
      <c r="F13" s="381"/>
      <c r="G13" s="19">
        <v>130</v>
      </c>
      <c r="H13" s="20"/>
      <c r="I13" s="71">
        <v>157373</v>
      </c>
      <c r="J13" s="71">
        <v>984703</v>
      </c>
    </row>
    <row r="14" spans="1:10" s="2" customFormat="1" ht="13.5" customHeight="1">
      <c r="A14" s="383" t="s">
        <v>1837</v>
      </c>
      <c r="B14" s="383"/>
      <c r="C14" s="383"/>
      <c r="D14" s="383"/>
      <c r="E14" s="383"/>
      <c r="F14" s="383"/>
      <c r="G14" s="19">
        <v>131</v>
      </c>
      <c r="H14" s="20"/>
      <c r="I14" s="70">
        <f>I15+I16+I20+I24+I25+I26+I29+I36</f>
        <v>22099026</v>
      </c>
      <c r="J14" s="70">
        <f>J15+J16+J20+J24+J25+J26+J29+J36</f>
        <v>47193700</v>
      </c>
    </row>
    <row r="15" spans="1:12" s="2" customFormat="1" ht="13.5" customHeight="1">
      <c r="A15" s="381" t="s">
        <v>258</v>
      </c>
      <c r="B15" s="381"/>
      <c r="C15" s="381"/>
      <c r="D15" s="381"/>
      <c r="E15" s="381"/>
      <c r="F15" s="381"/>
      <c r="G15" s="19">
        <v>132</v>
      </c>
      <c r="H15" s="20"/>
      <c r="I15" s="71">
        <v>0</v>
      </c>
      <c r="J15" s="71">
        <v>0</v>
      </c>
      <c r="L15" s="2" t="s">
        <v>2590</v>
      </c>
    </row>
    <row r="16" spans="1:10" s="2" customFormat="1" ht="13.5" customHeight="1">
      <c r="A16" s="381" t="s">
        <v>1838</v>
      </c>
      <c r="B16" s="381"/>
      <c r="C16" s="381"/>
      <c r="D16" s="381"/>
      <c r="E16" s="381"/>
      <c r="F16" s="381"/>
      <c r="G16" s="19">
        <v>133</v>
      </c>
      <c r="H16" s="20"/>
      <c r="I16" s="70">
        <f>SUM(I17:I19)</f>
        <v>9027375</v>
      </c>
      <c r="J16" s="70">
        <f>SUM(J17:J19)</f>
        <v>8121734</v>
      </c>
    </row>
    <row r="17" spans="1:10" s="2" customFormat="1" ht="13.5" customHeight="1">
      <c r="A17" s="410" t="s">
        <v>504</v>
      </c>
      <c r="B17" s="410"/>
      <c r="C17" s="410"/>
      <c r="D17" s="410"/>
      <c r="E17" s="410"/>
      <c r="F17" s="410"/>
      <c r="G17" s="19">
        <v>134</v>
      </c>
      <c r="H17" s="20"/>
      <c r="I17" s="71">
        <v>5471982</v>
      </c>
      <c r="J17" s="71">
        <v>4881530</v>
      </c>
    </row>
    <row r="18" spans="1:10" s="2" customFormat="1" ht="13.5" customHeight="1">
      <c r="A18" s="410" t="s">
        <v>505</v>
      </c>
      <c r="B18" s="410"/>
      <c r="C18" s="410"/>
      <c r="D18" s="410"/>
      <c r="E18" s="410"/>
      <c r="F18" s="410"/>
      <c r="G18" s="19">
        <v>135</v>
      </c>
      <c r="H18" s="20"/>
      <c r="I18" s="71">
        <v>5104</v>
      </c>
      <c r="J18" s="71">
        <v>342</v>
      </c>
    </row>
    <row r="19" spans="1:10" s="2" customFormat="1" ht="13.5" customHeight="1">
      <c r="A19" s="410" t="s">
        <v>1426</v>
      </c>
      <c r="B19" s="410"/>
      <c r="C19" s="410"/>
      <c r="D19" s="410"/>
      <c r="E19" s="410"/>
      <c r="F19" s="410"/>
      <c r="G19" s="19">
        <v>136</v>
      </c>
      <c r="H19" s="20"/>
      <c r="I19" s="71">
        <v>3550289</v>
      </c>
      <c r="J19" s="71">
        <v>3239862</v>
      </c>
    </row>
    <row r="20" spans="1:10" s="2" customFormat="1" ht="13.5" customHeight="1">
      <c r="A20" s="381" t="s">
        <v>1839</v>
      </c>
      <c r="B20" s="381"/>
      <c r="C20" s="381"/>
      <c r="D20" s="381"/>
      <c r="E20" s="381"/>
      <c r="F20" s="381"/>
      <c r="G20" s="19">
        <v>137</v>
      </c>
      <c r="H20" s="20"/>
      <c r="I20" s="70">
        <f>SUM(I21:I23)</f>
        <v>9028016</v>
      </c>
      <c r="J20" s="70">
        <f>SUM(J21:J23)</f>
        <v>8492998</v>
      </c>
    </row>
    <row r="21" spans="1:10" s="2" customFormat="1" ht="13.5" customHeight="1">
      <c r="A21" s="410" t="s">
        <v>724</v>
      </c>
      <c r="B21" s="410"/>
      <c r="C21" s="410"/>
      <c r="D21" s="410"/>
      <c r="E21" s="410"/>
      <c r="F21" s="410"/>
      <c r="G21" s="19">
        <v>138</v>
      </c>
      <c r="H21" s="20"/>
      <c r="I21" s="71">
        <v>5506657</v>
      </c>
      <c r="J21" s="71">
        <v>5242148</v>
      </c>
    </row>
    <row r="22" spans="1:10" s="2" customFormat="1" ht="13.5" customHeight="1">
      <c r="A22" s="410" t="s">
        <v>961</v>
      </c>
      <c r="B22" s="410"/>
      <c r="C22" s="410"/>
      <c r="D22" s="410"/>
      <c r="E22" s="410"/>
      <c r="F22" s="410"/>
      <c r="G22" s="19">
        <v>139</v>
      </c>
      <c r="H22" s="20"/>
      <c r="I22" s="71">
        <v>2247019</v>
      </c>
      <c r="J22" s="71">
        <v>2104893</v>
      </c>
    </row>
    <row r="23" spans="1:10" s="2" customFormat="1" ht="13.5" customHeight="1">
      <c r="A23" s="410" t="s">
        <v>962</v>
      </c>
      <c r="B23" s="410"/>
      <c r="C23" s="410"/>
      <c r="D23" s="410"/>
      <c r="E23" s="410"/>
      <c r="F23" s="410"/>
      <c r="G23" s="19">
        <v>140</v>
      </c>
      <c r="H23" s="20"/>
      <c r="I23" s="71">
        <v>1274340</v>
      </c>
      <c r="J23" s="71">
        <v>1145957</v>
      </c>
    </row>
    <row r="24" spans="1:10" s="2" customFormat="1" ht="13.5" customHeight="1">
      <c r="A24" s="381" t="s">
        <v>259</v>
      </c>
      <c r="B24" s="381"/>
      <c r="C24" s="381"/>
      <c r="D24" s="381"/>
      <c r="E24" s="381"/>
      <c r="F24" s="381"/>
      <c r="G24" s="19">
        <v>141</v>
      </c>
      <c r="H24" s="20"/>
      <c r="I24" s="71">
        <v>1539338</v>
      </c>
      <c r="J24" s="71">
        <v>1955319</v>
      </c>
    </row>
    <row r="25" spans="1:10" s="2" customFormat="1" ht="13.5" customHeight="1">
      <c r="A25" s="381" t="s">
        <v>260</v>
      </c>
      <c r="B25" s="381"/>
      <c r="C25" s="381"/>
      <c r="D25" s="381"/>
      <c r="E25" s="381"/>
      <c r="F25" s="381"/>
      <c r="G25" s="19">
        <v>142</v>
      </c>
      <c r="H25" s="20"/>
      <c r="I25" s="71">
        <v>1879152</v>
      </c>
      <c r="J25" s="71">
        <v>2680109</v>
      </c>
    </row>
    <row r="26" spans="1:12" s="2" customFormat="1" ht="13.5" customHeight="1">
      <c r="A26" s="381" t="s">
        <v>1840</v>
      </c>
      <c r="B26" s="381"/>
      <c r="C26" s="381"/>
      <c r="D26" s="381"/>
      <c r="E26" s="381"/>
      <c r="F26" s="381"/>
      <c r="G26" s="19">
        <v>143</v>
      </c>
      <c r="H26" s="20"/>
      <c r="I26" s="70">
        <f>SUM(I27:I28)</f>
        <v>170012</v>
      </c>
      <c r="J26" s="70">
        <f>SUM(J27:J28)</f>
        <v>2329637</v>
      </c>
      <c r="L26" s="2" t="s">
        <v>2590</v>
      </c>
    </row>
    <row r="27" spans="1:12" s="2" customFormat="1" ht="13.5" customHeight="1">
      <c r="A27" s="410" t="s">
        <v>506</v>
      </c>
      <c r="B27" s="410"/>
      <c r="C27" s="410"/>
      <c r="D27" s="410"/>
      <c r="E27" s="410"/>
      <c r="F27" s="410"/>
      <c r="G27" s="19">
        <v>144</v>
      </c>
      <c r="H27" s="20"/>
      <c r="I27" s="71">
        <v>0</v>
      </c>
      <c r="J27" s="71">
        <v>0</v>
      </c>
      <c r="L27" s="2" t="s">
        <v>2590</v>
      </c>
    </row>
    <row r="28" spans="1:12" s="2" customFormat="1" ht="13.5" customHeight="1">
      <c r="A28" s="410" t="s">
        <v>507</v>
      </c>
      <c r="B28" s="410"/>
      <c r="C28" s="410"/>
      <c r="D28" s="410"/>
      <c r="E28" s="410"/>
      <c r="F28" s="410"/>
      <c r="G28" s="19">
        <v>145</v>
      </c>
      <c r="H28" s="20"/>
      <c r="I28" s="71">
        <v>170012</v>
      </c>
      <c r="J28" s="71">
        <v>2329637</v>
      </c>
      <c r="L28" s="2" t="s">
        <v>2590</v>
      </c>
    </row>
    <row r="29" spans="1:12" s="2" customFormat="1" ht="13.5" customHeight="1">
      <c r="A29" s="381" t="s">
        <v>1841</v>
      </c>
      <c r="B29" s="381"/>
      <c r="C29" s="381"/>
      <c r="D29" s="381"/>
      <c r="E29" s="381"/>
      <c r="F29" s="381"/>
      <c r="G29" s="19">
        <v>146</v>
      </c>
      <c r="H29" s="20"/>
      <c r="I29" s="70">
        <f>SUM(I30:I35)</f>
        <v>0</v>
      </c>
      <c r="J29" s="70">
        <f>SUM(J30:J35)</f>
        <v>3111684</v>
      </c>
      <c r="L29" s="2" t="s">
        <v>2590</v>
      </c>
    </row>
    <row r="30" spans="1:12" s="2" customFormat="1" ht="13.5" customHeight="1">
      <c r="A30" s="410" t="s">
        <v>508</v>
      </c>
      <c r="B30" s="410"/>
      <c r="C30" s="410"/>
      <c r="D30" s="410"/>
      <c r="E30" s="410"/>
      <c r="F30" s="410"/>
      <c r="G30" s="19">
        <v>147</v>
      </c>
      <c r="H30" s="20"/>
      <c r="I30" s="71">
        <v>0</v>
      </c>
      <c r="J30" s="71">
        <v>0</v>
      </c>
      <c r="L30" s="2" t="s">
        <v>2590</v>
      </c>
    </row>
    <row r="31" spans="1:12" s="2" customFormat="1" ht="13.5" customHeight="1">
      <c r="A31" s="410" t="s">
        <v>509</v>
      </c>
      <c r="B31" s="410"/>
      <c r="C31" s="410"/>
      <c r="D31" s="410"/>
      <c r="E31" s="410"/>
      <c r="F31" s="410"/>
      <c r="G31" s="19">
        <v>148</v>
      </c>
      <c r="H31" s="20"/>
      <c r="I31" s="71">
        <v>0</v>
      </c>
      <c r="J31" s="71">
        <v>0</v>
      </c>
      <c r="L31" s="2" t="s">
        <v>2590</v>
      </c>
    </row>
    <row r="32" spans="1:12" s="2" customFormat="1" ht="13.5" customHeight="1">
      <c r="A32" s="410" t="s">
        <v>510</v>
      </c>
      <c r="B32" s="410"/>
      <c r="C32" s="410"/>
      <c r="D32" s="410"/>
      <c r="E32" s="410"/>
      <c r="F32" s="410"/>
      <c r="G32" s="19">
        <v>149</v>
      </c>
      <c r="H32" s="20"/>
      <c r="I32" s="71">
        <v>0</v>
      </c>
      <c r="J32" s="71">
        <v>0</v>
      </c>
      <c r="L32" s="2" t="s">
        <v>2590</v>
      </c>
    </row>
    <row r="33" spans="1:12" s="2" customFormat="1" ht="13.5" customHeight="1">
      <c r="A33" s="410" t="s">
        <v>511</v>
      </c>
      <c r="B33" s="410"/>
      <c r="C33" s="410"/>
      <c r="D33" s="410"/>
      <c r="E33" s="410"/>
      <c r="F33" s="410"/>
      <c r="G33" s="19">
        <v>150</v>
      </c>
      <c r="H33" s="20"/>
      <c r="I33" s="71">
        <v>0</v>
      </c>
      <c r="J33" s="71">
        <v>0</v>
      </c>
      <c r="L33" s="2" t="s">
        <v>2590</v>
      </c>
    </row>
    <row r="34" spans="1:12" s="2" customFormat="1" ht="13.5" customHeight="1">
      <c r="A34" s="410" t="s">
        <v>512</v>
      </c>
      <c r="B34" s="410"/>
      <c r="C34" s="410"/>
      <c r="D34" s="410"/>
      <c r="E34" s="410"/>
      <c r="F34" s="410"/>
      <c r="G34" s="19">
        <v>151</v>
      </c>
      <c r="H34" s="20"/>
      <c r="I34" s="71">
        <v>0</v>
      </c>
      <c r="J34" s="71">
        <v>0</v>
      </c>
      <c r="L34" s="2" t="s">
        <v>2590</v>
      </c>
    </row>
    <row r="35" spans="1:12" s="2" customFormat="1" ht="13.5" customHeight="1">
      <c r="A35" s="410" t="s">
        <v>513</v>
      </c>
      <c r="B35" s="410"/>
      <c r="C35" s="410"/>
      <c r="D35" s="410"/>
      <c r="E35" s="410"/>
      <c r="F35" s="410"/>
      <c r="G35" s="19">
        <v>152</v>
      </c>
      <c r="H35" s="20"/>
      <c r="I35" s="71">
        <v>0</v>
      </c>
      <c r="J35" s="71">
        <v>3111684</v>
      </c>
      <c r="L35" s="2" t="s">
        <v>2590</v>
      </c>
    </row>
    <row r="36" spans="1:10" s="2" customFormat="1" ht="13.5" customHeight="1">
      <c r="A36" s="381" t="s">
        <v>1692</v>
      </c>
      <c r="B36" s="381"/>
      <c r="C36" s="381"/>
      <c r="D36" s="381"/>
      <c r="E36" s="381"/>
      <c r="F36" s="381"/>
      <c r="G36" s="19">
        <v>153</v>
      </c>
      <c r="H36" s="20"/>
      <c r="I36" s="71">
        <v>455133</v>
      </c>
      <c r="J36" s="71">
        <v>20502219</v>
      </c>
    </row>
    <row r="37" spans="1:10" s="2" customFormat="1" ht="13.5" customHeight="1">
      <c r="A37" s="383" t="s">
        <v>1842</v>
      </c>
      <c r="B37" s="383"/>
      <c r="C37" s="383"/>
      <c r="D37" s="383"/>
      <c r="E37" s="383"/>
      <c r="F37" s="383"/>
      <c r="G37" s="19">
        <v>154</v>
      </c>
      <c r="H37" s="20"/>
      <c r="I37" s="70">
        <f>SUM(I38:I47)</f>
        <v>493672</v>
      </c>
      <c r="J37" s="70">
        <f>SUM(J38:J47)</f>
        <v>46908</v>
      </c>
    </row>
    <row r="38" spans="1:10" s="2" customFormat="1" ht="13.5" customHeight="1">
      <c r="A38" s="381" t="s">
        <v>1433</v>
      </c>
      <c r="B38" s="381"/>
      <c r="C38" s="381"/>
      <c r="D38" s="381"/>
      <c r="E38" s="381"/>
      <c r="F38" s="381"/>
      <c r="G38" s="19">
        <v>155</v>
      </c>
      <c r="H38" s="20"/>
      <c r="I38" s="71">
        <v>0</v>
      </c>
      <c r="J38" s="71">
        <v>0</v>
      </c>
    </row>
    <row r="39" spans="1:10" s="2" customFormat="1" ht="24" customHeight="1">
      <c r="A39" s="381" t="s">
        <v>1561</v>
      </c>
      <c r="B39" s="381"/>
      <c r="C39" s="381"/>
      <c r="D39" s="381"/>
      <c r="E39" s="381"/>
      <c r="F39" s="381"/>
      <c r="G39" s="19">
        <v>156</v>
      </c>
      <c r="H39" s="20"/>
      <c r="I39" s="71">
        <v>0</v>
      </c>
      <c r="J39" s="71">
        <v>0</v>
      </c>
    </row>
    <row r="40" spans="1:10" s="2" customFormat="1" ht="24" customHeight="1">
      <c r="A40" s="381" t="s">
        <v>1432</v>
      </c>
      <c r="B40" s="381"/>
      <c r="C40" s="381"/>
      <c r="D40" s="381"/>
      <c r="E40" s="381"/>
      <c r="F40" s="381"/>
      <c r="G40" s="19">
        <v>157</v>
      </c>
      <c r="H40" s="20"/>
      <c r="I40" s="71">
        <v>0</v>
      </c>
      <c r="J40" s="71">
        <v>0</v>
      </c>
    </row>
    <row r="41" spans="1:10" s="2" customFormat="1" ht="13.5" customHeight="1">
      <c r="A41" s="381" t="s">
        <v>1431</v>
      </c>
      <c r="B41" s="381"/>
      <c r="C41" s="381"/>
      <c r="D41" s="381"/>
      <c r="E41" s="381"/>
      <c r="F41" s="381"/>
      <c r="G41" s="19">
        <v>158</v>
      </c>
      <c r="H41" s="20"/>
      <c r="I41" s="71">
        <v>2588</v>
      </c>
      <c r="J41" s="71">
        <v>7218</v>
      </c>
    </row>
    <row r="42" spans="1:10" s="2" customFormat="1" ht="24" customHeight="1">
      <c r="A42" s="381" t="s">
        <v>1562</v>
      </c>
      <c r="B42" s="381"/>
      <c r="C42" s="381"/>
      <c r="D42" s="381"/>
      <c r="E42" s="381"/>
      <c r="F42" s="381"/>
      <c r="G42" s="19">
        <v>159</v>
      </c>
      <c r="H42" s="20"/>
      <c r="I42" s="71">
        <v>0</v>
      </c>
      <c r="J42" s="71">
        <v>0</v>
      </c>
    </row>
    <row r="43" spans="1:10" s="2" customFormat="1" ht="13.5" customHeight="1">
      <c r="A43" s="381" t="s">
        <v>1430</v>
      </c>
      <c r="B43" s="381"/>
      <c r="C43" s="381"/>
      <c r="D43" s="381"/>
      <c r="E43" s="381"/>
      <c r="F43" s="381"/>
      <c r="G43" s="19">
        <v>160</v>
      </c>
      <c r="H43" s="20"/>
      <c r="I43" s="71">
        <v>0</v>
      </c>
      <c r="J43" s="71">
        <v>0</v>
      </c>
    </row>
    <row r="44" spans="1:10" s="2" customFormat="1" ht="13.5" customHeight="1">
      <c r="A44" s="381" t="s">
        <v>1429</v>
      </c>
      <c r="B44" s="381"/>
      <c r="C44" s="381"/>
      <c r="D44" s="381"/>
      <c r="E44" s="381"/>
      <c r="F44" s="381"/>
      <c r="G44" s="19">
        <v>161</v>
      </c>
      <c r="H44" s="20"/>
      <c r="I44" s="71">
        <v>13892</v>
      </c>
      <c r="J44" s="71">
        <v>0</v>
      </c>
    </row>
    <row r="45" spans="1:10" s="2" customFormat="1" ht="13.5" customHeight="1">
      <c r="A45" s="381" t="s">
        <v>1428</v>
      </c>
      <c r="B45" s="381"/>
      <c r="C45" s="381"/>
      <c r="D45" s="381"/>
      <c r="E45" s="381"/>
      <c r="F45" s="381"/>
      <c r="G45" s="19">
        <v>162</v>
      </c>
      <c r="H45" s="20"/>
      <c r="I45" s="71">
        <v>477192</v>
      </c>
      <c r="J45" s="71">
        <v>39690</v>
      </c>
    </row>
    <row r="46" spans="1:10" s="2" customFormat="1" ht="13.5" customHeight="1">
      <c r="A46" s="381" t="s">
        <v>1427</v>
      </c>
      <c r="B46" s="381"/>
      <c r="C46" s="381"/>
      <c r="D46" s="381"/>
      <c r="E46" s="381"/>
      <c r="F46" s="381"/>
      <c r="G46" s="19">
        <v>163</v>
      </c>
      <c r="H46" s="20"/>
      <c r="I46" s="71">
        <v>0</v>
      </c>
      <c r="J46" s="71">
        <v>0</v>
      </c>
    </row>
    <row r="47" spans="1:10" s="2" customFormat="1" ht="13.5" customHeight="1">
      <c r="A47" s="381" t="s">
        <v>1423</v>
      </c>
      <c r="B47" s="381"/>
      <c r="C47" s="381"/>
      <c r="D47" s="381"/>
      <c r="E47" s="381"/>
      <c r="F47" s="381"/>
      <c r="G47" s="19">
        <v>164</v>
      </c>
      <c r="H47" s="20"/>
      <c r="I47" s="71">
        <v>0</v>
      </c>
      <c r="J47" s="71">
        <v>0</v>
      </c>
    </row>
    <row r="48" spans="1:10" s="2" customFormat="1" ht="13.5" customHeight="1">
      <c r="A48" s="383" t="s">
        <v>1843</v>
      </c>
      <c r="B48" s="383"/>
      <c r="C48" s="383"/>
      <c r="D48" s="383"/>
      <c r="E48" s="383"/>
      <c r="F48" s="383"/>
      <c r="G48" s="19">
        <v>165</v>
      </c>
      <c r="H48" s="20"/>
      <c r="I48" s="70">
        <f>SUM(I49:I55)</f>
        <v>483319</v>
      </c>
      <c r="J48" s="70">
        <f>SUM(J49:J55)</f>
        <v>825724</v>
      </c>
    </row>
    <row r="49" spans="1:10" s="2" customFormat="1" ht="13.5" customHeight="1">
      <c r="A49" s="381" t="s">
        <v>1424</v>
      </c>
      <c r="B49" s="381"/>
      <c r="C49" s="381"/>
      <c r="D49" s="381"/>
      <c r="E49" s="381"/>
      <c r="F49" s="381"/>
      <c r="G49" s="19">
        <v>166</v>
      </c>
      <c r="H49" s="20"/>
      <c r="I49" s="71">
        <v>30</v>
      </c>
      <c r="J49" s="71">
        <v>258663</v>
      </c>
    </row>
    <row r="50" spans="1:10" s="2" customFormat="1" ht="13.5" customHeight="1">
      <c r="A50" s="404" t="s">
        <v>1437</v>
      </c>
      <c r="B50" s="404"/>
      <c r="C50" s="404"/>
      <c r="D50" s="404"/>
      <c r="E50" s="404"/>
      <c r="F50" s="404"/>
      <c r="G50" s="19">
        <v>167</v>
      </c>
      <c r="H50" s="20"/>
      <c r="I50" s="71">
        <v>0</v>
      </c>
      <c r="J50" s="71">
        <v>0</v>
      </c>
    </row>
    <row r="51" spans="1:10" s="2" customFormat="1" ht="13.5" customHeight="1">
      <c r="A51" s="404" t="s">
        <v>1438</v>
      </c>
      <c r="B51" s="404"/>
      <c r="C51" s="404"/>
      <c r="D51" s="404"/>
      <c r="E51" s="404"/>
      <c r="F51" s="404"/>
      <c r="G51" s="19">
        <v>168</v>
      </c>
      <c r="H51" s="20"/>
      <c r="I51" s="71">
        <v>277983</v>
      </c>
      <c r="J51" s="71">
        <v>378437</v>
      </c>
    </row>
    <row r="52" spans="1:10" s="2" customFormat="1" ht="13.5" customHeight="1">
      <c r="A52" s="404" t="s">
        <v>1439</v>
      </c>
      <c r="B52" s="404"/>
      <c r="C52" s="404"/>
      <c r="D52" s="404"/>
      <c r="E52" s="404"/>
      <c r="F52" s="404"/>
      <c r="G52" s="19">
        <v>169</v>
      </c>
      <c r="H52" s="20"/>
      <c r="I52" s="71">
        <v>95977</v>
      </c>
      <c r="J52" s="71">
        <v>188624</v>
      </c>
    </row>
    <row r="53" spans="1:10" s="2" customFormat="1" ht="13.5" customHeight="1">
      <c r="A53" s="404" t="s">
        <v>1440</v>
      </c>
      <c r="B53" s="404"/>
      <c r="C53" s="404"/>
      <c r="D53" s="404"/>
      <c r="E53" s="404"/>
      <c r="F53" s="404"/>
      <c r="G53" s="19">
        <v>170</v>
      </c>
      <c r="H53" s="20"/>
      <c r="I53" s="71">
        <v>0</v>
      </c>
      <c r="J53" s="71">
        <v>0</v>
      </c>
    </row>
    <row r="54" spans="1:12" s="2" customFormat="1" ht="13.5" customHeight="1">
      <c r="A54" s="404" t="s">
        <v>1441</v>
      </c>
      <c r="B54" s="404"/>
      <c r="C54" s="404"/>
      <c r="D54" s="404"/>
      <c r="E54" s="404"/>
      <c r="F54" s="404"/>
      <c r="G54" s="19">
        <v>171</v>
      </c>
      <c r="H54" s="20"/>
      <c r="I54" s="71">
        <v>109329</v>
      </c>
      <c r="J54" s="71"/>
      <c r="L54" s="2" t="s">
        <v>2590</v>
      </c>
    </row>
    <row r="55" spans="1:10" s="2" customFormat="1" ht="13.5" customHeight="1">
      <c r="A55" s="404" t="s">
        <v>1442</v>
      </c>
      <c r="B55" s="404"/>
      <c r="C55" s="404"/>
      <c r="D55" s="404"/>
      <c r="E55" s="404"/>
      <c r="F55" s="404"/>
      <c r="G55" s="19">
        <v>172</v>
      </c>
      <c r="H55" s="20"/>
      <c r="I55" s="71">
        <v>0</v>
      </c>
      <c r="J55" s="71">
        <v>0</v>
      </c>
    </row>
    <row r="56" spans="1:10" s="2" customFormat="1" ht="24.75" customHeight="1">
      <c r="A56" s="383" t="s">
        <v>1563</v>
      </c>
      <c r="B56" s="383"/>
      <c r="C56" s="383"/>
      <c r="D56" s="383"/>
      <c r="E56" s="383"/>
      <c r="F56" s="383"/>
      <c r="G56" s="19">
        <v>173</v>
      </c>
      <c r="H56" s="20"/>
      <c r="I56" s="71">
        <v>0</v>
      </c>
      <c r="J56" s="71">
        <v>0</v>
      </c>
    </row>
    <row r="57" spans="1:10" s="2" customFormat="1" ht="13.5" customHeight="1">
      <c r="A57" s="383" t="s">
        <v>1443</v>
      </c>
      <c r="B57" s="383"/>
      <c r="C57" s="383"/>
      <c r="D57" s="383"/>
      <c r="E57" s="383"/>
      <c r="F57" s="383"/>
      <c r="G57" s="19">
        <v>174</v>
      </c>
      <c r="H57" s="20"/>
      <c r="I57" s="71">
        <v>0</v>
      </c>
      <c r="J57" s="71">
        <v>0</v>
      </c>
    </row>
    <row r="58" spans="1:10" s="2" customFormat="1" ht="24.75" customHeight="1">
      <c r="A58" s="383" t="s">
        <v>1444</v>
      </c>
      <c r="B58" s="383"/>
      <c r="C58" s="383"/>
      <c r="D58" s="383"/>
      <c r="E58" s="383"/>
      <c r="F58" s="383"/>
      <c r="G58" s="19">
        <v>175</v>
      </c>
      <c r="H58" s="20"/>
      <c r="I58" s="71">
        <v>0</v>
      </c>
      <c r="J58" s="71">
        <v>0</v>
      </c>
    </row>
    <row r="59" spans="1:10" s="2" customFormat="1" ht="13.5" customHeight="1">
      <c r="A59" s="383" t="s">
        <v>1445</v>
      </c>
      <c r="B59" s="383"/>
      <c r="C59" s="383"/>
      <c r="D59" s="383"/>
      <c r="E59" s="383"/>
      <c r="F59" s="383"/>
      <c r="G59" s="19">
        <v>176</v>
      </c>
      <c r="H59" s="20"/>
      <c r="I59" s="71">
        <v>0</v>
      </c>
      <c r="J59" s="71">
        <v>0</v>
      </c>
    </row>
    <row r="60" spans="1:10" s="2" customFormat="1" ht="13.5" customHeight="1">
      <c r="A60" s="383" t="s">
        <v>1844</v>
      </c>
      <c r="B60" s="383"/>
      <c r="C60" s="383"/>
      <c r="D60" s="383"/>
      <c r="E60" s="383"/>
      <c r="F60" s="383"/>
      <c r="G60" s="19">
        <v>177</v>
      </c>
      <c r="H60" s="20"/>
      <c r="I60" s="70">
        <f>I8+I37+I56+I57</f>
        <v>19990725</v>
      </c>
      <c r="J60" s="70">
        <f>J8+J37+J56+J57</f>
        <v>18593769</v>
      </c>
    </row>
    <row r="61" spans="1:10" s="2" customFormat="1" ht="13.5" customHeight="1">
      <c r="A61" s="383" t="s">
        <v>1845</v>
      </c>
      <c r="B61" s="383"/>
      <c r="C61" s="383"/>
      <c r="D61" s="383"/>
      <c r="E61" s="383"/>
      <c r="F61" s="383"/>
      <c r="G61" s="19">
        <v>178</v>
      </c>
      <c r="H61" s="20"/>
      <c r="I61" s="70">
        <f>I14+I48+I58+I59</f>
        <v>22582345</v>
      </c>
      <c r="J61" s="70">
        <f>J14+J48+J58+J59</f>
        <v>48019424</v>
      </c>
    </row>
    <row r="62" spans="1:12" s="2" customFormat="1" ht="13.5" customHeight="1">
      <c r="A62" s="383" t="s">
        <v>2580</v>
      </c>
      <c r="B62" s="383"/>
      <c r="C62" s="383"/>
      <c r="D62" s="383"/>
      <c r="E62" s="383"/>
      <c r="F62" s="383"/>
      <c r="G62" s="19">
        <v>179</v>
      </c>
      <c r="H62" s="20"/>
      <c r="I62" s="70">
        <f>I60-I61</f>
        <v>-2591620</v>
      </c>
      <c r="J62" s="70">
        <f>J60-J61</f>
        <v>-29425655</v>
      </c>
      <c r="L62" s="2" t="s">
        <v>2590</v>
      </c>
    </row>
    <row r="63" spans="1:10" s="2" customFormat="1" ht="13.5" customHeight="1">
      <c r="A63" s="404" t="s">
        <v>2657</v>
      </c>
      <c r="B63" s="404"/>
      <c r="C63" s="404"/>
      <c r="D63" s="404"/>
      <c r="E63" s="404"/>
      <c r="F63" s="404"/>
      <c r="G63" s="19">
        <v>180</v>
      </c>
      <c r="H63" s="20"/>
      <c r="I63" s="70">
        <f>IF(I60&gt;I61,I60-I61,0)</f>
        <v>0</v>
      </c>
      <c r="J63" s="70">
        <f>IF(J60&gt;J61,J60-J61,0)</f>
        <v>0</v>
      </c>
    </row>
    <row r="64" spans="1:10" s="2" customFormat="1" ht="13.5" customHeight="1">
      <c r="A64" s="404" t="s">
        <v>778</v>
      </c>
      <c r="B64" s="404"/>
      <c r="C64" s="404"/>
      <c r="D64" s="404"/>
      <c r="E64" s="404"/>
      <c r="F64" s="404"/>
      <c r="G64" s="19">
        <v>181</v>
      </c>
      <c r="H64" s="20"/>
      <c r="I64" s="70">
        <f>IF(I61&gt;I60,I61-I60,0)</f>
        <v>2591620</v>
      </c>
      <c r="J64" s="70">
        <f>IF(J61&gt;J60,J61-J60,0)</f>
        <v>29425655</v>
      </c>
    </row>
    <row r="65" spans="1:12" s="2" customFormat="1" ht="13.5" customHeight="1">
      <c r="A65" s="383" t="s">
        <v>2619</v>
      </c>
      <c r="B65" s="383"/>
      <c r="C65" s="383"/>
      <c r="D65" s="383"/>
      <c r="E65" s="383"/>
      <c r="F65" s="383"/>
      <c r="G65" s="19">
        <v>182</v>
      </c>
      <c r="H65" s="20"/>
      <c r="I65" s="71">
        <v>-154759</v>
      </c>
      <c r="J65" s="71">
        <v>0</v>
      </c>
      <c r="L65" s="2" t="s">
        <v>2590</v>
      </c>
    </row>
    <row r="66" spans="1:12" s="2" customFormat="1" ht="13.5" customHeight="1">
      <c r="A66" s="383" t="s">
        <v>2581</v>
      </c>
      <c r="B66" s="383"/>
      <c r="C66" s="383"/>
      <c r="D66" s="383"/>
      <c r="E66" s="383"/>
      <c r="F66" s="383"/>
      <c r="G66" s="19">
        <v>183</v>
      </c>
      <c r="H66" s="20"/>
      <c r="I66" s="70">
        <f>I62-I65</f>
        <v>-2436861</v>
      </c>
      <c r="J66" s="70">
        <f>J62-J65</f>
        <v>-29425655</v>
      </c>
      <c r="L66" s="2" t="s">
        <v>2590</v>
      </c>
    </row>
    <row r="67" spans="1:10" s="2" customFormat="1" ht="13.5" customHeight="1">
      <c r="A67" s="404" t="s">
        <v>779</v>
      </c>
      <c r="B67" s="404"/>
      <c r="C67" s="404"/>
      <c r="D67" s="404"/>
      <c r="E67" s="404"/>
      <c r="F67" s="404"/>
      <c r="G67" s="19">
        <v>184</v>
      </c>
      <c r="H67" s="20"/>
      <c r="I67" s="70">
        <f>IF(I66&gt;0,I66,0)</f>
        <v>0</v>
      </c>
      <c r="J67" s="70">
        <f>IF(J66&gt;0,J66,0)</f>
        <v>0</v>
      </c>
    </row>
    <row r="68" spans="1:10" s="2" customFormat="1" ht="13.5" customHeight="1">
      <c r="A68" s="421" t="s">
        <v>1472</v>
      </c>
      <c r="B68" s="421"/>
      <c r="C68" s="421"/>
      <c r="D68" s="421"/>
      <c r="E68" s="421"/>
      <c r="F68" s="421"/>
      <c r="G68" s="21">
        <v>185</v>
      </c>
      <c r="H68" s="22"/>
      <c r="I68" s="85">
        <f>IF(I66&lt;0,-I66,0)</f>
        <v>2436861</v>
      </c>
      <c r="J68" s="85">
        <f>IF(J66&lt;0,-J66,0)</f>
        <v>29425655</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2590</v>
      </c>
    </row>
    <row r="71" spans="1:10" s="2" customFormat="1" ht="13.5" customHeight="1">
      <c r="A71" s="404" t="s">
        <v>2059</v>
      </c>
      <c r="B71" s="404"/>
      <c r="C71" s="404"/>
      <c r="D71" s="404"/>
      <c r="E71" s="404"/>
      <c r="F71" s="404"/>
      <c r="G71" s="19">
        <v>187</v>
      </c>
      <c r="H71" s="20"/>
      <c r="I71" s="71">
        <v>0</v>
      </c>
      <c r="J71" s="71">
        <v>0</v>
      </c>
    </row>
    <row r="72" spans="1:10" s="2" customFormat="1" ht="13.5" customHeight="1">
      <c r="A72" s="404" t="s">
        <v>2060</v>
      </c>
      <c r="B72" s="404"/>
      <c r="C72" s="404"/>
      <c r="D72" s="404"/>
      <c r="E72" s="404"/>
      <c r="F72" s="404"/>
      <c r="G72" s="19">
        <v>188</v>
      </c>
      <c r="H72" s="20"/>
      <c r="I72" s="71">
        <v>0</v>
      </c>
      <c r="J72" s="71">
        <v>0</v>
      </c>
    </row>
    <row r="73" spans="1:12" s="2" customFormat="1" ht="13.5" customHeight="1">
      <c r="A73" s="383" t="s">
        <v>1446</v>
      </c>
      <c r="B73" s="383"/>
      <c r="C73" s="383"/>
      <c r="D73" s="383"/>
      <c r="E73" s="383"/>
      <c r="F73" s="383"/>
      <c r="G73" s="19">
        <v>189</v>
      </c>
      <c r="H73" s="20"/>
      <c r="I73" s="71">
        <v>0</v>
      </c>
      <c r="J73" s="71">
        <v>0</v>
      </c>
      <c r="L73" s="2" t="s">
        <v>2590</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2590</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2590</v>
      </c>
    </row>
    <row r="81" spans="1:12" s="2" customFormat="1" ht="13.5" customHeight="1">
      <c r="A81" s="383" t="s">
        <v>2009</v>
      </c>
      <c r="B81" s="383"/>
      <c r="C81" s="383"/>
      <c r="D81" s="383"/>
      <c r="E81" s="383"/>
      <c r="F81" s="383"/>
      <c r="G81" s="19">
        <v>196</v>
      </c>
      <c r="H81" s="20"/>
      <c r="I81" s="70">
        <f>I82-I83</f>
        <v>0</v>
      </c>
      <c r="J81" s="70">
        <f>J82-J83</f>
        <v>0</v>
      </c>
      <c r="L81" s="2" t="s">
        <v>2590</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2851</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2590</v>
      </c>
    </row>
    <row r="86" spans="1:12" s="2" customFormat="1" ht="13.5" customHeight="1">
      <c r="A86" s="406" t="s">
        <v>2061</v>
      </c>
      <c r="B86" s="406"/>
      <c r="C86" s="406"/>
      <c r="D86" s="406"/>
      <c r="E86" s="406"/>
      <c r="F86" s="406"/>
      <c r="G86" s="19">
        <v>200</v>
      </c>
      <c r="H86" s="20"/>
      <c r="I86" s="77">
        <v>0</v>
      </c>
      <c r="J86" s="77">
        <v>0</v>
      </c>
      <c r="L86" s="2" t="s">
        <v>2590</v>
      </c>
    </row>
    <row r="87" spans="1:12" s="2" customFormat="1" ht="13.5" customHeight="1">
      <c r="A87" s="407" t="s">
        <v>1102</v>
      </c>
      <c r="B87" s="407"/>
      <c r="C87" s="407"/>
      <c r="D87" s="407"/>
      <c r="E87" s="407"/>
      <c r="F87" s="407"/>
      <c r="G87" s="21">
        <v>201</v>
      </c>
      <c r="H87" s="22"/>
      <c r="I87" s="78">
        <v>0</v>
      </c>
      <c r="J87" s="78">
        <v>0</v>
      </c>
      <c r="L87" s="2" t="s">
        <v>2590</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v>-2436861</v>
      </c>
      <c r="J89" s="77">
        <v>-29425656</v>
      </c>
      <c r="L89" s="2" t="s">
        <v>2590</v>
      </c>
    </row>
    <row r="90" spans="1:12" s="2" customFormat="1" ht="25.5" customHeight="1">
      <c r="A90" s="405" t="s">
        <v>1473</v>
      </c>
      <c r="B90" s="405"/>
      <c r="C90" s="405"/>
      <c r="D90" s="405"/>
      <c r="E90" s="405"/>
      <c r="F90" s="405"/>
      <c r="G90" s="19">
        <v>203</v>
      </c>
      <c r="H90" s="20"/>
      <c r="I90" s="86">
        <f>SUM(I91:I98)</f>
        <v>773794</v>
      </c>
      <c r="J90" s="86">
        <f>SUM(J91:J98)</f>
        <v>738381</v>
      </c>
      <c r="L90" s="2" t="s">
        <v>2590</v>
      </c>
    </row>
    <row r="91" spans="1:12" s="2" customFormat="1" ht="13.5" customHeight="1">
      <c r="A91" s="404" t="s">
        <v>2062</v>
      </c>
      <c r="B91" s="404"/>
      <c r="C91" s="404"/>
      <c r="D91" s="404"/>
      <c r="E91" s="404"/>
      <c r="F91" s="404"/>
      <c r="G91" s="19">
        <v>204</v>
      </c>
      <c r="H91" s="20"/>
      <c r="I91" s="77">
        <v>0</v>
      </c>
      <c r="J91" s="77">
        <v>0</v>
      </c>
      <c r="L91" s="2" t="s">
        <v>2590</v>
      </c>
    </row>
    <row r="92" spans="1:12" s="2" customFormat="1" ht="25.5" customHeight="1">
      <c r="A92" s="404" t="s">
        <v>2063</v>
      </c>
      <c r="B92" s="404"/>
      <c r="C92" s="404"/>
      <c r="D92" s="404"/>
      <c r="E92" s="404"/>
      <c r="F92" s="404"/>
      <c r="G92" s="19">
        <v>205</v>
      </c>
      <c r="H92" s="20"/>
      <c r="I92" s="77">
        <v>773794</v>
      </c>
      <c r="J92" s="77">
        <v>738381</v>
      </c>
      <c r="L92" s="2" t="s">
        <v>2590</v>
      </c>
    </row>
    <row r="93" spans="1:12" s="2" customFormat="1" ht="26.25" customHeight="1">
      <c r="A93" s="404" t="s">
        <v>2064</v>
      </c>
      <c r="B93" s="404"/>
      <c r="C93" s="404"/>
      <c r="D93" s="404"/>
      <c r="E93" s="404"/>
      <c r="F93" s="404"/>
      <c r="G93" s="19">
        <v>206</v>
      </c>
      <c r="H93" s="20"/>
      <c r="I93" s="77">
        <v>0</v>
      </c>
      <c r="J93" s="77">
        <v>0</v>
      </c>
      <c r="L93" s="2" t="s">
        <v>2590</v>
      </c>
    </row>
    <row r="94" spans="1:12" s="2" customFormat="1" ht="13.5" customHeight="1">
      <c r="A94" s="404" t="s">
        <v>2065</v>
      </c>
      <c r="B94" s="404"/>
      <c r="C94" s="404"/>
      <c r="D94" s="404"/>
      <c r="E94" s="404"/>
      <c r="F94" s="404"/>
      <c r="G94" s="19">
        <v>207</v>
      </c>
      <c r="H94" s="20"/>
      <c r="I94" s="77">
        <v>0</v>
      </c>
      <c r="J94" s="77">
        <v>0</v>
      </c>
      <c r="L94" s="2" t="s">
        <v>2590</v>
      </c>
    </row>
    <row r="95" spans="1:12" s="2" customFormat="1" ht="13.5" customHeight="1">
      <c r="A95" s="404" t="s">
        <v>2066</v>
      </c>
      <c r="B95" s="404"/>
      <c r="C95" s="404"/>
      <c r="D95" s="404"/>
      <c r="E95" s="404"/>
      <c r="F95" s="404"/>
      <c r="G95" s="19">
        <v>208</v>
      </c>
      <c r="H95" s="20"/>
      <c r="I95" s="77">
        <v>0</v>
      </c>
      <c r="J95" s="77">
        <v>0</v>
      </c>
      <c r="L95" s="2" t="s">
        <v>2590</v>
      </c>
    </row>
    <row r="96" spans="1:12" s="2" customFormat="1" ht="25.5" customHeight="1">
      <c r="A96" s="404" t="s">
        <v>2067</v>
      </c>
      <c r="B96" s="404"/>
      <c r="C96" s="404"/>
      <c r="D96" s="404"/>
      <c r="E96" s="404"/>
      <c r="F96" s="404"/>
      <c r="G96" s="19">
        <v>209</v>
      </c>
      <c r="H96" s="20"/>
      <c r="I96" s="77">
        <v>0</v>
      </c>
      <c r="J96" s="77">
        <v>0</v>
      </c>
      <c r="L96" s="2" t="s">
        <v>2590</v>
      </c>
    </row>
    <row r="97" spans="1:12" s="2" customFormat="1" ht="13.5" customHeight="1">
      <c r="A97" s="404" t="s">
        <v>759</v>
      </c>
      <c r="B97" s="404"/>
      <c r="C97" s="404"/>
      <c r="D97" s="404"/>
      <c r="E97" s="404"/>
      <c r="F97" s="404"/>
      <c r="G97" s="19">
        <v>210</v>
      </c>
      <c r="H97" s="20"/>
      <c r="I97" s="77">
        <v>0</v>
      </c>
      <c r="J97" s="77">
        <v>0</v>
      </c>
      <c r="L97" s="2" t="s">
        <v>2590</v>
      </c>
    </row>
    <row r="98" spans="1:12" s="2" customFormat="1" ht="13.5" customHeight="1">
      <c r="A98" s="404" t="s">
        <v>1449</v>
      </c>
      <c r="B98" s="404"/>
      <c r="C98" s="404"/>
      <c r="D98" s="404"/>
      <c r="E98" s="404"/>
      <c r="F98" s="404"/>
      <c r="G98" s="19">
        <v>211</v>
      </c>
      <c r="H98" s="20"/>
      <c r="I98" s="77">
        <v>0</v>
      </c>
      <c r="J98" s="77">
        <v>0</v>
      </c>
      <c r="L98" s="2" t="s">
        <v>2590</v>
      </c>
    </row>
    <row r="99" spans="1:12" s="2" customFormat="1" ht="13.5" customHeight="1">
      <c r="A99" s="405" t="s">
        <v>2620</v>
      </c>
      <c r="B99" s="405"/>
      <c r="C99" s="405"/>
      <c r="D99" s="405"/>
      <c r="E99" s="405"/>
      <c r="F99" s="405"/>
      <c r="G99" s="19">
        <v>212</v>
      </c>
      <c r="H99" s="20"/>
      <c r="I99" s="77">
        <v>154759</v>
      </c>
      <c r="J99" s="77">
        <v>132909</v>
      </c>
      <c r="L99" s="2" t="s">
        <v>2590</v>
      </c>
    </row>
    <row r="100" spans="1:12" s="2" customFormat="1" ht="15" customHeight="1">
      <c r="A100" s="405" t="s">
        <v>1474</v>
      </c>
      <c r="B100" s="405"/>
      <c r="C100" s="405"/>
      <c r="D100" s="405"/>
      <c r="E100" s="405"/>
      <c r="F100" s="405"/>
      <c r="G100" s="19">
        <v>213</v>
      </c>
      <c r="H100" s="20"/>
      <c r="I100" s="86">
        <f>I90-I99</f>
        <v>619035</v>
      </c>
      <c r="J100" s="86">
        <f>J90-J99</f>
        <v>605472</v>
      </c>
      <c r="L100" s="2" t="s">
        <v>2590</v>
      </c>
    </row>
    <row r="101" spans="1:12" s="2" customFormat="1" ht="13.5" customHeight="1">
      <c r="A101" s="408" t="s">
        <v>1475</v>
      </c>
      <c r="B101" s="408"/>
      <c r="C101" s="408"/>
      <c r="D101" s="408"/>
      <c r="E101" s="408"/>
      <c r="F101" s="408"/>
      <c r="G101" s="21">
        <v>214</v>
      </c>
      <c r="H101" s="22"/>
      <c r="I101" s="87">
        <f>I89+I100</f>
        <v>-1817826</v>
      </c>
      <c r="J101" s="87">
        <f>J89+J100</f>
        <v>-28820184</v>
      </c>
      <c r="L101" s="2" t="s">
        <v>2590</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2590</v>
      </c>
    </row>
    <row r="104" spans="1:12" s="2" customFormat="1" ht="13.5" customHeight="1">
      <c r="A104" s="406" t="s">
        <v>2621</v>
      </c>
      <c r="B104" s="406"/>
      <c r="C104" s="406"/>
      <c r="D104" s="406"/>
      <c r="E104" s="406"/>
      <c r="F104" s="406"/>
      <c r="G104" s="19">
        <v>216</v>
      </c>
      <c r="H104" s="20"/>
      <c r="I104" s="77">
        <v>0</v>
      </c>
      <c r="J104" s="77">
        <v>0</v>
      </c>
      <c r="L104" s="2" t="s">
        <v>2590</v>
      </c>
    </row>
    <row r="105" spans="1:12" s="2" customFormat="1" ht="13.5" customHeight="1">
      <c r="A105" s="407" t="s">
        <v>1450</v>
      </c>
      <c r="B105" s="407"/>
      <c r="C105" s="407"/>
      <c r="D105" s="407"/>
      <c r="E105" s="407"/>
      <c r="F105" s="407"/>
      <c r="G105" s="21">
        <v>217</v>
      </c>
      <c r="H105" s="22"/>
      <c r="I105" s="78">
        <v>0</v>
      </c>
      <c r="J105" s="78">
        <v>0</v>
      </c>
      <c r="L105" s="2" t="s">
        <v>2590</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5:J87 I80:J81 I89:J10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5" activePane="bottomLeft" state="frozen"/>
      <selection pane="topLeft" activeCell="A1" sqref="A1"/>
      <selection pane="bottomLeft" activeCell="I38" sqref="I3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s="2" customFormat="1" ht="19.5" customHeight="1">
      <c r="A2" s="443" t="s">
        <v>568</v>
      </c>
      <c r="B2" s="444"/>
      <c r="C2" s="444"/>
      <c r="D2" s="444"/>
      <c r="E2" s="444"/>
      <c r="F2" s="444"/>
      <c r="G2" s="444"/>
      <c r="H2" s="444"/>
      <c r="I2" s="445"/>
      <c r="J2" s="385" t="s">
        <v>2592</v>
      </c>
      <c r="Q2" s="74">
        <f>IF(MAX(I9:I88)&gt;0,1,0)</f>
        <v>1</v>
      </c>
      <c r="R2" s="73" t="s">
        <v>2585</v>
      </c>
    </row>
    <row r="3" spans="1:18" s="2" customFormat="1" ht="19.5" customHeight="1" thickBot="1">
      <c r="A3" s="446" t="str">
        <f>"za razdoblje "&amp;IF(RefStr!C4&lt;&gt;"",TEXT(RefStr!C4,"DD.MM.YYYY."),"__.__.____.")&amp;" do "&amp;IF(RefStr!F4&lt;&gt;"",TEXT(RefStr!F4,"DD.MM.YYYY."),"__.__.____.")</f>
        <v>za razdoblje 01.01.2019. do 31.12.2019.</v>
      </c>
      <c r="B3" s="447"/>
      <c r="C3" s="447"/>
      <c r="D3" s="447"/>
      <c r="E3" s="447"/>
      <c r="F3" s="447"/>
      <c r="G3" s="447"/>
      <c r="H3" s="447"/>
      <c r="I3" s="448"/>
      <c r="J3" s="433"/>
      <c r="Q3" s="74">
        <f>IF(MAX(J9:J88)&gt;0,1,0)</f>
        <v>1</v>
      </c>
      <c r="R3" s="73" t="s">
        <v>2586</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94858559872; HOTELI VODICE d.d.</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v>0</v>
      </c>
      <c r="J9" s="93">
        <v>0</v>
      </c>
    </row>
    <row r="10" spans="1:10" s="2" customFormat="1" ht="13.5" customHeight="1">
      <c r="A10" s="404" t="s">
        <v>261</v>
      </c>
      <c r="B10" s="404"/>
      <c r="C10" s="404"/>
      <c r="D10" s="404"/>
      <c r="E10" s="404"/>
      <c r="F10" s="404"/>
      <c r="G10" s="404"/>
      <c r="H10" s="19">
        <v>219</v>
      </c>
      <c r="I10" s="77">
        <v>555826</v>
      </c>
      <c r="J10" s="77">
        <v>2466970</v>
      </c>
    </row>
    <row r="11" spans="1:10" s="2" customFormat="1" ht="13.5" customHeight="1">
      <c r="A11" s="404" t="s">
        <v>769</v>
      </c>
      <c r="B11" s="404"/>
      <c r="C11" s="404"/>
      <c r="D11" s="404"/>
      <c r="E11" s="404"/>
      <c r="F11" s="404"/>
      <c r="G11" s="404"/>
      <c r="H11" s="19">
        <v>220</v>
      </c>
      <c r="I11" s="77">
        <v>0</v>
      </c>
      <c r="J11" s="77">
        <v>0</v>
      </c>
    </row>
    <row r="12" spans="1:10" s="2" customFormat="1" ht="13.5" customHeight="1">
      <c r="A12" s="404" t="s">
        <v>768</v>
      </c>
      <c r="B12" s="404"/>
      <c r="C12" s="404"/>
      <c r="D12" s="404"/>
      <c r="E12" s="404"/>
      <c r="F12" s="404"/>
      <c r="G12" s="404"/>
      <c r="H12" s="19">
        <v>221</v>
      </c>
      <c r="I12" s="77">
        <v>0</v>
      </c>
      <c r="J12" s="77">
        <v>0</v>
      </c>
    </row>
    <row r="13" spans="1:10" s="2" customFormat="1" ht="13.5" customHeight="1">
      <c r="A13" s="404" t="s">
        <v>767</v>
      </c>
      <c r="B13" s="404"/>
      <c r="C13" s="404"/>
      <c r="D13" s="404"/>
      <c r="E13" s="404"/>
      <c r="F13" s="404"/>
      <c r="G13" s="404"/>
      <c r="H13" s="19">
        <v>222</v>
      </c>
      <c r="I13" s="77">
        <v>0</v>
      </c>
      <c r="J13" s="77">
        <v>0</v>
      </c>
    </row>
    <row r="14" spans="1:10" s="2" customFormat="1" ht="13.5" customHeight="1">
      <c r="A14" s="404" t="s">
        <v>766</v>
      </c>
      <c r="B14" s="404"/>
      <c r="C14" s="404"/>
      <c r="D14" s="404"/>
      <c r="E14" s="404"/>
      <c r="F14" s="404"/>
      <c r="G14" s="404"/>
      <c r="H14" s="19">
        <v>223</v>
      </c>
      <c r="I14" s="77">
        <v>29620</v>
      </c>
      <c r="J14" s="77">
        <v>0</v>
      </c>
    </row>
    <row r="15" spans="1:10" s="2" customFormat="1" ht="13.5" customHeight="1">
      <c r="A15" s="421" t="s">
        <v>765</v>
      </c>
      <c r="B15" s="421"/>
      <c r="C15" s="421"/>
      <c r="D15" s="421"/>
      <c r="E15" s="421"/>
      <c r="F15" s="421"/>
      <c r="G15" s="421"/>
      <c r="H15" s="21">
        <v>224</v>
      </c>
      <c r="I15" s="78">
        <v>33070</v>
      </c>
      <c r="J15" s="78">
        <v>3162</v>
      </c>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v>0</v>
      </c>
      <c r="J17" s="94">
        <v>0</v>
      </c>
    </row>
    <row r="18" spans="1:10" s="2" customFormat="1" ht="13.5" customHeight="1">
      <c r="A18" s="404" t="s">
        <v>764</v>
      </c>
      <c r="B18" s="404"/>
      <c r="C18" s="404"/>
      <c r="D18" s="404"/>
      <c r="E18" s="404"/>
      <c r="F18" s="404"/>
      <c r="G18" s="427"/>
      <c r="H18" s="19">
        <v>226</v>
      </c>
      <c r="I18" s="77">
        <v>818435</v>
      </c>
      <c r="J18" s="77">
        <v>19337800</v>
      </c>
    </row>
    <row r="19" spans="1:10" s="2" customFormat="1" ht="13.5" customHeight="1">
      <c r="A19" s="404" t="s">
        <v>760</v>
      </c>
      <c r="B19" s="404"/>
      <c r="C19" s="404"/>
      <c r="D19" s="404"/>
      <c r="E19" s="404"/>
      <c r="F19" s="404"/>
      <c r="G19" s="427"/>
      <c r="H19" s="19">
        <v>227</v>
      </c>
      <c r="I19" s="77">
        <v>0</v>
      </c>
      <c r="J19" s="77">
        <v>0</v>
      </c>
    </row>
    <row r="20" spans="1:10" s="2" customFormat="1" ht="13.5" customHeight="1">
      <c r="A20" s="404" t="s">
        <v>761</v>
      </c>
      <c r="B20" s="404"/>
      <c r="C20" s="404"/>
      <c r="D20" s="404"/>
      <c r="E20" s="404"/>
      <c r="F20" s="404"/>
      <c r="G20" s="427"/>
      <c r="H20" s="19">
        <v>228</v>
      </c>
      <c r="I20" s="77">
        <v>0</v>
      </c>
      <c r="J20" s="77">
        <v>0</v>
      </c>
    </row>
    <row r="21" spans="1:10" s="2" customFormat="1" ht="13.5" customHeight="1">
      <c r="A21" s="421" t="s">
        <v>762</v>
      </c>
      <c r="B21" s="421"/>
      <c r="C21" s="421"/>
      <c r="D21" s="421"/>
      <c r="E21" s="421"/>
      <c r="F21" s="421"/>
      <c r="G21" s="430"/>
      <c r="H21" s="21">
        <v>229</v>
      </c>
      <c r="I21" s="78">
        <v>0</v>
      </c>
      <c r="J21" s="78">
        <v>0</v>
      </c>
    </row>
    <row r="22" spans="1:10" s="2" customFormat="1" ht="13.5" customHeight="1">
      <c r="A22" s="422" t="s">
        <v>265</v>
      </c>
      <c r="B22" s="423"/>
      <c r="C22" s="423"/>
      <c r="D22" s="423"/>
      <c r="E22" s="423"/>
      <c r="F22" s="423"/>
      <c r="G22" s="423"/>
      <c r="H22" s="423"/>
      <c r="I22" s="423"/>
      <c r="J22" s="424"/>
    </row>
    <row r="23" spans="1:10" s="2" customFormat="1" ht="13.5" customHeight="1">
      <c r="A23" s="428" t="s">
        <v>2899</v>
      </c>
      <c r="B23" s="428"/>
      <c r="C23" s="428"/>
      <c r="D23" s="428"/>
      <c r="E23" s="428"/>
      <c r="F23" s="428"/>
      <c r="G23" s="429"/>
      <c r="H23" s="95">
        <v>230</v>
      </c>
      <c r="I23" s="96">
        <v>0</v>
      </c>
      <c r="J23" s="96">
        <v>0</v>
      </c>
    </row>
    <row r="24" spans="1:10" s="2" customFormat="1" ht="13.5" customHeight="1">
      <c r="A24" s="422" t="s">
        <v>266</v>
      </c>
      <c r="B24" s="423"/>
      <c r="C24" s="423"/>
      <c r="D24" s="423"/>
      <c r="E24" s="423"/>
      <c r="F24" s="423"/>
      <c r="G24" s="423"/>
      <c r="H24" s="423"/>
      <c r="I24" s="423"/>
      <c r="J24" s="424"/>
    </row>
    <row r="25" spans="1:10" s="2" customFormat="1" ht="13.5" customHeight="1">
      <c r="A25" s="425" t="s">
        <v>2900</v>
      </c>
      <c r="B25" s="425"/>
      <c r="C25" s="425"/>
      <c r="D25" s="425"/>
      <c r="E25" s="425"/>
      <c r="F25" s="425"/>
      <c r="G25" s="426"/>
      <c r="H25" s="92">
        <v>231</v>
      </c>
      <c r="I25" s="94">
        <v>0</v>
      </c>
      <c r="J25" s="94">
        <v>0</v>
      </c>
    </row>
    <row r="26" spans="1:10" s="2" customFormat="1" ht="24.75" customHeight="1">
      <c r="A26" s="404" t="s">
        <v>2214</v>
      </c>
      <c r="B26" s="404"/>
      <c r="C26" s="404"/>
      <c r="D26" s="404"/>
      <c r="E26" s="404"/>
      <c r="F26" s="404"/>
      <c r="G26" s="427"/>
      <c r="H26" s="19">
        <v>232</v>
      </c>
      <c r="I26" s="77">
        <v>6460</v>
      </c>
      <c r="J26" s="77">
        <v>600</v>
      </c>
    </row>
    <row r="27" spans="1:10" s="2" customFormat="1" ht="13.5" customHeight="1">
      <c r="A27" s="404" t="s">
        <v>267</v>
      </c>
      <c r="B27" s="404"/>
      <c r="C27" s="404"/>
      <c r="D27" s="404"/>
      <c r="E27" s="404"/>
      <c r="F27" s="404"/>
      <c r="G27" s="427"/>
      <c r="H27" s="19">
        <v>233</v>
      </c>
      <c r="I27" s="77">
        <v>0</v>
      </c>
      <c r="J27" s="77">
        <v>0</v>
      </c>
    </row>
    <row r="28" spans="1:10" s="2" customFormat="1" ht="13.5" customHeight="1">
      <c r="A28" s="404" t="s">
        <v>268</v>
      </c>
      <c r="B28" s="404"/>
      <c r="C28" s="404"/>
      <c r="D28" s="404"/>
      <c r="E28" s="404"/>
      <c r="F28" s="404"/>
      <c r="G28" s="427"/>
      <c r="H28" s="19">
        <v>234</v>
      </c>
      <c r="I28" s="77">
        <v>0</v>
      </c>
      <c r="J28" s="77">
        <v>0</v>
      </c>
    </row>
    <row r="29" spans="1:10" s="2" customFormat="1" ht="13.5" customHeight="1">
      <c r="A29" s="404" t="s">
        <v>269</v>
      </c>
      <c r="B29" s="404"/>
      <c r="C29" s="404"/>
      <c r="D29" s="404"/>
      <c r="E29" s="404"/>
      <c r="F29" s="404"/>
      <c r="G29" s="427"/>
      <c r="H29" s="19">
        <v>235</v>
      </c>
      <c r="I29" s="77">
        <v>0</v>
      </c>
      <c r="J29" s="77">
        <v>0</v>
      </c>
    </row>
    <row r="30" spans="1:10" s="2" customFormat="1" ht="13.5" customHeight="1">
      <c r="A30" s="404" t="s">
        <v>270</v>
      </c>
      <c r="B30" s="404"/>
      <c r="C30" s="404"/>
      <c r="D30" s="404"/>
      <c r="E30" s="404"/>
      <c r="F30" s="404"/>
      <c r="G30" s="427"/>
      <c r="H30" s="19">
        <v>236</v>
      </c>
      <c r="I30" s="77">
        <v>0</v>
      </c>
      <c r="J30" s="77">
        <v>0</v>
      </c>
    </row>
    <row r="31" spans="1:10" s="2" customFormat="1" ht="13.5" customHeight="1">
      <c r="A31" s="404" t="s">
        <v>271</v>
      </c>
      <c r="B31" s="404"/>
      <c r="C31" s="404"/>
      <c r="D31" s="404"/>
      <c r="E31" s="404"/>
      <c r="F31" s="404"/>
      <c r="G31" s="427"/>
      <c r="H31" s="19">
        <v>237</v>
      </c>
      <c r="I31" s="77">
        <v>0</v>
      </c>
      <c r="J31" s="77">
        <v>0</v>
      </c>
    </row>
    <row r="32" spans="1:10" s="2" customFormat="1" ht="13.5" customHeight="1">
      <c r="A32" s="404" t="s">
        <v>272</v>
      </c>
      <c r="B32" s="404"/>
      <c r="C32" s="404"/>
      <c r="D32" s="404"/>
      <c r="E32" s="404"/>
      <c r="F32" s="404"/>
      <c r="G32" s="427"/>
      <c r="H32" s="19">
        <v>238</v>
      </c>
      <c r="I32" s="77">
        <v>0</v>
      </c>
      <c r="J32" s="77">
        <v>0</v>
      </c>
    </row>
    <row r="33" spans="1:10" s="2" customFormat="1" ht="24.75" customHeight="1">
      <c r="A33" s="404" t="s">
        <v>2215</v>
      </c>
      <c r="B33" s="404"/>
      <c r="C33" s="404"/>
      <c r="D33" s="404"/>
      <c r="E33" s="404"/>
      <c r="F33" s="404"/>
      <c r="G33" s="427"/>
      <c r="H33" s="19">
        <v>239</v>
      </c>
      <c r="I33" s="77">
        <v>18266576</v>
      </c>
      <c r="J33" s="77">
        <v>16756679</v>
      </c>
    </row>
    <row r="34" spans="1:10" s="2" customFormat="1" ht="36" customHeight="1">
      <c r="A34" s="404" t="s">
        <v>2216</v>
      </c>
      <c r="B34" s="404"/>
      <c r="C34" s="404"/>
      <c r="D34" s="404"/>
      <c r="E34" s="404"/>
      <c r="F34" s="404"/>
      <c r="G34" s="427"/>
      <c r="H34" s="19">
        <v>240</v>
      </c>
      <c r="I34" s="77">
        <v>0</v>
      </c>
      <c r="J34" s="77">
        <v>0</v>
      </c>
    </row>
    <row r="35" spans="1:10" s="2" customFormat="1" ht="36" customHeight="1">
      <c r="A35" s="421" t="s">
        <v>273</v>
      </c>
      <c r="B35" s="421"/>
      <c r="C35" s="421"/>
      <c r="D35" s="421"/>
      <c r="E35" s="421"/>
      <c r="F35" s="421"/>
      <c r="G35" s="430"/>
      <c r="H35" s="21">
        <v>241</v>
      </c>
      <c r="I35" s="78">
        <v>479582</v>
      </c>
      <c r="J35" s="78">
        <v>444395</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18513173</v>
      </c>
      <c r="J37" s="94">
        <v>17044023</v>
      </c>
    </row>
    <row r="38" spans="1:10" s="2" customFormat="1" ht="13.5" customHeight="1">
      <c r="A38" s="421" t="s">
        <v>241</v>
      </c>
      <c r="B38" s="421"/>
      <c r="C38" s="421"/>
      <c r="D38" s="421"/>
      <c r="E38" s="421"/>
      <c r="F38" s="421"/>
      <c r="G38" s="430"/>
      <c r="H38" s="21">
        <v>243</v>
      </c>
      <c r="I38" s="78">
        <v>0</v>
      </c>
      <c r="J38" s="78">
        <v>0</v>
      </c>
    </row>
    <row r="39" spans="1:10" s="2" customFormat="1" ht="13.5" customHeight="1">
      <c r="A39" s="422" t="s">
        <v>275</v>
      </c>
      <c r="B39" s="423"/>
      <c r="C39" s="423"/>
      <c r="D39" s="423"/>
      <c r="E39" s="423"/>
      <c r="F39" s="423"/>
      <c r="G39" s="423"/>
      <c r="H39" s="423"/>
      <c r="I39" s="423"/>
      <c r="J39" s="424"/>
    </row>
    <row r="40" spans="1:10" s="2" customFormat="1" ht="13.5" customHeight="1">
      <c r="A40" s="428" t="s">
        <v>2901</v>
      </c>
      <c r="B40" s="428"/>
      <c r="C40" s="428"/>
      <c r="D40" s="428"/>
      <c r="E40" s="428"/>
      <c r="F40" s="428"/>
      <c r="G40" s="429"/>
      <c r="H40" s="95">
        <v>244</v>
      </c>
      <c r="I40" s="96">
        <v>0</v>
      </c>
      <c r="J40" s="96">
        <v>0</v>
      </c>
    </row>
    <row r="41" spans="1:10" s="2" customFormat="1" ht="13.5" customHeight="1">
      <c r="A41" s="422" t="s">
        <v>276</v>
      </c>
      <c r="B41" s="423"/>
      <c r="C41" s="423"/>
      <c r="D41" s="423"/>
      <c r="E41" s="423"/>
      <c r="F41" s="423"/>
      <c r="G41" s="423"/>
      <c r="H41" s="423"/>
      <c r="I41" s="423"/>
      <c r="J41" s="424"/>
    </row>
    <row r="42" spans="1:10" s="2" customFormat="1" ht="24.75" customHeight="1">
      <c r="A42" s="425" t="s">
        <v>2217</v>
      </c>
      <c r="B42" s="425"/>
      <c r="C42" s="425"/>
      <c r="D42" s="425"/>
      <c r="E42" s="425"/>
      <c r="F42" s="425"/>
      <c r="G42" s="426"/>
      <c r="H42" s="92">
        <v>245</v>
      </c>
      <c r="I42" s="94">
        <v>0</v>
      </c>
      <c r="J42" s="94">
        <v>0</v>
      </c>
    </row>
    <row r="43" spans="1:10" s="2" customFormat="1" ht="13.5" customHeight="1">
      <c r="A43" s="404" t="s">
        <v>277</v>
      </c>
      <c r="B43" s="404"/>
      <c r="C43" s="404"/>
      <c r="D43" s="404"/>
      <c r="E43" s="404"/>
      <c r="F43" s="404"/>
      <c r="G43" s="427"/>
      <c r="H43" s="19">
        <v>246</v>
      </c>
      <c r="I43" s="94">
        <v>0</v>
      </c>
      <c r="J43" s="94">
        <v>0</v>
      </c>
    </row>
    <row r="44" spans="1:10" s="2" customFormat="1" ht="13.5" customHeight="1">
      <c r="A44" s="431" t="s">
        <v>280</v>
      </c>
      <c r="B44" s="431"/>
      <c r="C44" s="431"/>
      <c r="D44" s="431"/>
      <c r="E44" s="431"/>
      <c r="F44" s="431"/>
      <c r="G44" s="432"/>
      <c r="H44" s="19">
        <v>247</v>
      </c>
      <c r="I44" s="94">
        <v>0</v>
      </c>
      <c r="J44" s="94">
        <v>0</v>
      </c>
    </row>
    <row r="45" spans="1:10" s="2" customFormat="1" ht="13.5" customHeight="1">
      <c r="A45" s="404" t="s">
        <v>278</v>
      </c>
      <c r="B45" s="404"/>
      <c r="C45" s="404"/>
      <c r="D45" s="404"/>
      <c r="E45" s="404"/>
      <c r="F45" s="404"/>
      <c r="G45" s="427"/>
      <c r="H45" s="19">
        <v>248</v>
      </c>
      <c r="I45" s="77">
        <v>479582</v>
      </c>
      <c r="J45" s="77">
        <v>444395</v>
      </c>
    </row>
    <row r="46" spans="1:10" s="2" customFormat="1" ht="24.75" customHeight="1">
      <c r="A46" s="404" t="s">
        <v>281</v>
      </c>
      <c r="B46" s="404"/>
      <c r="C46" s="404"/>
      <c r="D46" s="404"/>
      <c r="E46" s="404"/>
      <c r="F46" s="404"/>
      <c r="G46" s="427"/>
      <c r="H46" s="19">
        <v>249</v>
      </c>
      <c r="I46" s="77">
        <v>0</v>
      </c>
      <c r="J46" s="77">
        <v>0</v>
      </c>
    </row>
    <row r="47" spans="1:10" s="2" customFormat="1" ht="13.5" customHeight="1">
      <c r="A47" s="421" t="s">
        <v>279</v>
      </c>
      <c r="B47" s="421"/>
      <c r="C47" s="421"/>
      <c r="D47" s="421"/>
      <c r="E47" s="421"/>
      <c r="F47" s="421"/>
      <c r="G47" s="430"/>
      <c r="H47" s="21">
        <v>250</v>
      </c>
      <c r="I47" s="77">
        <v>0</v>
      </c>
      <c r="J47" s="77">
        <v>0</v>
      </c>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v>0</v>
      </c>
      <c r="J49" s="94">
        <v>0</v>
      </c>
    </row>
    <row r="50" spans="1:10" s="2" customFormat="1" ht="13.5" customHeight="1">
      <c r="A50" s="404" t="s">
        <v>285</v>
      </c>
      <c r="B50" s="404"/>
      <c r="C50" s="404"/>
      <c r="D50" s="404"/>
      <c r="E50" s="404"/>
      <c r="F50" s="404"/>
      <c r="G50" s="427"/>
      <c r="H50" s="19">
        <v>252</v>
      </c>
      <c r="I50" s="77">
        <v>1598108</v>
      </c>
      <c r="J50" s="77">
        <v>1339820</v>
      </c>
    </row>
    <row r="51" spans="1:10" s="2" customFormat="1" ht="24.75" customHeight="1">
      <c r="A51" s="404" t="s">
        <v>2218</v>
      </c>
      <c r="B51" s="404"/>
      <c r="C51" s="404"/>
      <c r="D51" s="404"/>
      <c r="E51" s="404"/>
      <c r="F51" s="404"/>
      <c r="G51" s="427"/>
      <c r="H51" s="19">
        <v>253</v>
      </c>
      <c r="I51" s="77">
        <v>107919</v>
      </c>
      <c r="J51" s="77">
        <v>110914</v>
      </c>
    </row>
    <row r="52" spans="1:10" s="2" customFormat="1" ht="24.75" customHeight="1">
      <c r="A52" s="404" t="s">
        <v>2442</v>
      </c>
      <c r="B52" s="404"/>
      <c r="C52" s="404"/>
      <c r="D52" s="404"/>
      <c r="E52" s="404"/>
      <c r="F52" s="404"/>
      <c r="G52" s="427"/>
      <c r="H52" s="19">
        <v>254</v>
      </c>
      <c r="I52" s="77">
        <v>0</v>
      </c>
      <c r="J52" s="77">
        <v>0</v>
      </c>
    </row>
    <row r="53" spans="1:10" s="2" customFormat="1" ht="13.5" customHeight="1">
      <c r="A53" s="404" t="s">
        <v>286</v>
      </c>
      <c r="B53" s="404"/>
      <c r="C53" s="404"/>
      <c r="D53" s="404"/>
      <c r="E53" s="404"/>
      <c r="F53" s="404"/>
      <c r="G53" s="427"/>
      <c r="H53" s="19">
        <v>255</v>
      </c>
      <c r="I53" s="77">
        <v>0</v>
      </c>
      <c r="J53" s="77">
        <v>0</v>
      </c>
    </row>
    <row r="54" spans="1:10" s="2" customFormat="1" ht="13.5" customHeight="1">
      <c r="A54" s="404" t="s">
        <v>287</v>
      </c>
      <c r="B54" s="404"/>
      <c r="C54" s="404"/>
      <c r="D54" s="404"/>
      <c r="E54" s="404"/>
      <c r="F54" s="404"/>
      <c r="G54" s="427"/>
      <c r="H54" s="19">
        <v>256</v>
      </c>
      <c r="I54" s="77">
        <v>0</v>
      </c>
      <c r="J54" s="77">
        <v>0</v>
      </c>
    </row>
    <row r="55" spans="1:10" s="2" customFormat="1" ht="13.5" customHeight="1">
      <c r="A55" s="404" t="s">
        <v>2433</v>
      </c>
      <c r="B55" s="404"/>
      <c r="C55" s="404"/>
      <c r="D55" s="404"/>
      <c r="E55" s="404"/>
      <c r="F55" s="404"/>
      <c r="G55" s="427"/>
      <c r="H55" s="19">
        <v>257</v>
      </c>
      <c r="I55" s="77">
        <v>0</v>
      </c>
      <c r="J55" s="77">
        <v>0</v>
      </c>
    </row>
    <row r="56" spans="1:10" s="2" customFormat="1" ht="13.5" customHeight="1">
      <c r="A56" s="404" t="s">
        <v>2434</v>
      </c>
      <c r="B56" s="404"/>
      <c r="C56" s="404"/>
      <c r="D56" s="404"/>
      <c r="E56" s="404"/>
      <c r="F56" s="404"/>
      <c r="G56" s="427"/>
      <c r="H56" s="19">
        <v>258</v>
      </c>
      <c r="I56" s="77">
        <v>70698</v>
      </c>
      <c r="J56" s="77">
        <v>0</v>
      </c>
    </row>
    <row r="57" spans="1:10" s="2" customFormat="1" ht="25.5" customHeight="1">
      <c r="A57" s="404" t="s">
        <v>2443</v>
      </c>
      <c r="B57" s="404"/>
      <c r="C57" s="404"/>
      <c r="D57" s="404"/>
      <c r="E57" s="404"/>
      <c r="F57" s="404"/>
      <c r="G57" s="427"/>
      <c r="H57" s="19">
        <v>259</v>
      </c>
      <c r="I57" s="77">
        <v>0</v>
      </c>
      <c r="J57" s="77">
        <v>0</v>
      </c>
    </row>
    <row r="58" spans="1:10" s="2" customFormat="1" ht="13.5" customHeight="1">
      <c r="A58" s="404" t="s">
        <v>2435</v>
      </c>
      <c r="B58" s="404"/>
      <c r="C58" s="404"/>
      <c r="D58" s="404"/>
      <c r="E58" s="404"/>
      <c r="F58" s="404"/>
      <c r="G58" s="427"/>
      <c r="H58" s="19">
        <v>260</v>
      </c>
      <c r="I58" s="77">
        <v>144844</v>
      </c>
      <c r="J58" s="77">
        <v>110469</v>
      </c>
    </row>
    <row r="59" spans="1:10" s="2" customFormat="1" ht="13.5" customHeight="1">
      <c r="A59" s="404" t="s">
        <v>2436</v>
      </c>
      <c r="B59" s="404"/>
      <c r="C59" s="404"/>
      <c r="D59" s="404"/>
      <c r="E59" s="404"/>
      <c r="F59" s="404"/>
      <c r="G59" s="427"/>
      <c r="H59" s="19">
        <v>261</v>
      </c>
      <c r="I59" s="77">
        <v>275660</v>
      </c>
      <c r="J59" s="77">
        <v>118539</v>
      </c>
    </row>
    <row r="60" spans="1:10" s="2" customFormat="1" ht="13.5" customHeight="1">
      <c r="A60" s="404" t="s">
        <v>2437</v>
      </c>
      <c r="B60" s="404"/>
      <c r="C60" s="404"/>
      <c r="D60" s="404"/>
      <c r="E60" s="404"/>
      <c r="F60" s="404"/>
      <c r="G60" s="427"/>
      <c r="H60" s="19">
        <v>262</v>
      </c>
      <c r="I60" s="77">
        <v>0</v>
      </c>
      <c r="J60" s="77">
        <v>0</v>
      </c>
    </row>
    <row r="61" spans="1:10" s="2" customFormat="1" ht="13.5" customHeight="1">
      <c r="A61" s="431" t="s">
        <v>2444</v>
      </c>
      <c r="B61" s="431"/>
      <c r="C61" s="431"/>
      <c r="D61" s="431"/>
      <c r="E61" s="431"/>
      <c r="F61" s="431"/>
      <c r="G61" s="432"/>
      <c r="H61" s="19">
        <v>263</v>
      </c>
      <c r="I61" s="77">
        <v>0</v>
      </c>
      <c r="J61" s="77">
        <v>0</v>
      </c>
    </row>
    <row r="62" spans="1:10" s="2" customFormat="1" ht="13.5" customHeight="1">
      <c r="A62" s="404" t="s">
        <v>2438</v>
      </c>
      <c r="B62" s="404"/>
      <c r="C62" s="404"/>
      <c r="D62" s="404"/>
      <c r="E62" s="404"/>
      <c r="F62" s="404"/>
      <c r="G62" s="427"/>
      <c r="H62" s="19">
        <v>264</v>
      </c>
      <c r="I62" s="77">
        <v>530323</v>
      </c>
      <c r="J62" s="77">
        <v>410203</v>
      </c>
    </row>
    <row r="63" spans="1:10" s="2" customFormat="1" ht="13.5" customHeight="1">
      <c r="A63" s="404" t="s">
        <v>2439</v>
      </c>
      <c r="B63" s="404"/>
      <c r="C63" s="404"/>
      <c r="D63" s="404"/>
      <c r="E63" s="404"/>
      <c r="F63" s="404"/>
      <c r="G63" s="427"/>
      <c r="H63" s="19">
        <v>265</v>
      </c>
      <c r="I63" s="77">
        <v>0</v>
      </c>
      <c r="J63" s="77">
        <v>0</v>
      </c>
    </row>
    <row r="64" spans="1:10" s="2" customFormat="1" ht="13.5" customHeight="1">
      <c r="A64" s="404" t="s">
        <v>2440</v>
      </c>
      <c r="B64" s="404"/>
      <c r="C64" s="404"/>
      <c r="D64" s="404"/>
      <c r="E64" s="404"/>
      <c r="F64" s="404"/>
      <c r="G64" s="427"/>
      <c r="H64" s="19">
        <v>266</v>
      </c>
      <c r="I64" s="77">
        <v>0</v>
      </c>
      <c r="J64" s="77">
        <v>0</v>
      </c>
    </row>
    <row r="65" spans="1:10" s="2" customFormat="1" ht="13.5" customHeight="1">
      <c r="A65" s="404" t="s">
        <v>2441</v>
      </c>
      <c r="B65" s="404"/>
      <c r="C65" s="404"/>
      <c r="D65" s="404"/>
      <c r="E65" s="404"/>
      <c r="F65" s="404"/>
      <c r="G65" s="427"/>
      <c r="H65" s="19">
        <v>267</v>
      </c>
      <c r="I65" s="77">
        <v>414937</v>
      </c>
      <c r="J65" s="77">
        <v>358452</v>
      </c>
    </row>
    <row r="66" spans="1:10" s="2" customFormat="1" ht="13.5" customHeight="1">
      <c r="A66" s="431" t="s">
        <v>2902</v>
      </c>
      <c r="B66" s="431"/>
      <c r="C66" s="431"/>
      <c r="D66" s="431"/>
      <c r="E66" s="431"/>
      <c r="F66" s="431"/>
      <c r="G66" s="432"/>
      <c r="H66" s="19">
        <v>268</v>
      </c>
      <c r="I66" s="77">
        <v>0</v>
      </c>
      <c r="J66" s="77">
        <v>0</v>
      </c>
    </row>
    <row r="67" spans="1:10" s="2" customFormat="1" ht="24.75" customHeight="1">
      <c r="A67" s="404" t="s">
        <v>2219</v>
      </c>
      <c r="B67" s="404"/>
      <c r="C67" s="404"/>
      <c r="D67" s="404"/>
      <c r="E67" s="404"/>
      <c r="F67" s="404"/>
      <c r="G67" s="427"/>
      <c r="H67" s="19">
        <v>269</v>
      </c>
      <c r="I67" s="77">
        <v>0</v>
      </c>
      <c r="J67" s="77">
        <v>0</v>
      </c>
    </row>
    <row r="68" spans="1:10" s="2" customFormat="1" ht="13.5" customHeight="1">
      <c r="A68" s="404" t="s">
        <v>2447</v>
      </c>
      <c r="B68" s="404"/>
      <c r="C68" s="404"/>
      <c r="D68" s="404"/>
      <c r="E68" s="404"/>
      <c r="F68" s="404"/>
      <c r="G68" s="427"/>
      <c r="H68" s="19">
        <v>270</v>
      </c>
      <c r="I68" s="77">
        <v>120358</v>
      </c>
      <c r="J68" s="77">
        <v>53123</v>
      </c>
    </row>
    <row r="69" spans="1:10" s="2" customFormat="1" ht="13.5" customHeight="1">
      <c r="A69" s="404" t="s">
        <v>2446</v>
      </c>
      <c r="B69" s="404"/>
      <c r="C69" s="404"/>
      <c r="D69" s="404"/>
      <c r="E69" s="404"/>
      <c r="F69" s="404"/>
      <c r="G69" s="427"/>
      <c r="H69" s="19">
        <v>271</v>
      </c>
      <c r="I69" s="77">
        <v>0</v>
      </c>
      <c r="J69" s="77">
        <v>0</v>
      </c>
    </row>
    <row r="70" spans="1:10" s="2" customFormat="1" ht="24.75" customHeight="1">
      <c r="A70" s="404" t="s">
        <v>2445</v>
      </c>
      <c r="B70" s="404"/>
      <c r="C70" s="404"/>
      <c r="D70" s="404"/>
      <c r="E70" s="404"/>
      <c r="F70" s="404"/>
      <c r="G70" s="427"/>
      <c r="H70" s="19">
        <v>272</v>
      </c>
      <c r="I70" s="77">
        <v>0</v>
      </c>
      <c r="J70" s="77">
        <v>0</v>
      </c>
    </row>
    <row r="71" spans="1:10" s="2" customFormat="1" ht="13.5" customHeight="1">
      <c r="A71" s="421" t="s">
        <v>396</v>
      </c>
      <c r="B71" s="421"/>
      <c r="C71" s="421"/>
      <c r="D71" s="421"/>
      <c r="E71" s="421"/>
      <c r="F71" s="421"/>
      <c r="G71" s="430"/>
      <c r="H71" s="21">
        <v>273</v>
      </c>
      <c r="I71" s="78">
        <v>423573</v>
      </c>
      <c r="J71" s="78">
        <v>171654</v>
      </c>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16480</v>
      </c>
      <c r="J73" s="94">
        <v>7219</v>
      </c>
    </row>
    <row r="74" spans="1:10" s="2" customFormat="1" ht="13.5" customHeight="1">
      <c r="A74" s="404" t="s">
        <v>244</v>
      </c>
      <c r="B74" s="404"/>
      <c r="C74" s="404"/>
      <c r="D74" s="404"/>
      <c r="E74" s="404"/>
      <c r="F74" s="404"/>
      <c r="G74" s="427"/>
      <c r="H74" s="19">
        <v>275</v>
      </c>
      <c r="I74" s="77">
        <v>0</v>
      </c>
      <c r="J74" s="77">
        <v>0</v>
      </c>
    </row>
    <row r="75" spans="1:10" s="2" customFormat="1" ht="13.5" customHeight="1">
      <c r="A75" s="404" t="s">
        <v>1923</v>
      </c>
      <c r="B75" s="404"/>
      <c r="C75" s="404"/>
      <c r="D75" s="404"/>
      <c r="E75" s="404"/>
      <c r="F75" s="404"/>
      <c r="G75" s="427"/>
      <c r="H75" s="19">
        <v>276</v>
      </c>
      <c r="I75" s="77">
        <v>0</v>
      </c>
      <c r="J75" s="77">
        <v>0</v>
      </c>
    </row>
    <row r="76" spans="1:10" s="2" customFormat="1" ht="13.5" customHeight="1">
      <c r="A76" s="421" t="s">
        <v>1924</v>
      </c>
      <c r="B76" s="421"/>
      <c r="C76" s="421"/>
      <c r="D76" s="421"/>
      <c r="E76" s="421"/>
      <c r="F76" s="421"/>
      <c r="G76" s="430"/>
      <c r="H76" s="21">
        <v>277</v>
      </c>
      <c r="I76" s="78">
        <v>278013</v>
      </c>
      <c r="J76" s="78">
        <v>637099</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1255902</v>
      </c>
      <c r="J78" s="228">
        <f>SUM(J79:J82)</f>
        <v>1472231</v>
      </c>
    </row>
    <row r="79" spans="1:10" s="2" customFormat="1" ht="13.5" customHeight="1">
      <c r="A79" s="404" t="s">
        <v>629</v>
      </c>
      <c r="B79" s="404"/>
      <c r="C79" s="404"/>
      <c r="D79" s="404"/>
      <c r="E79" s="404"/>
      <c r="F79" s="404"/>
      <c r="G79" s="427"/>
      <c r="H79" s="19">
        <v>279</v>
      </c>
      <c r="I79" s="77">
        <v>913855</v>
      </c>
      <c r="J79" s="77">
        <v>0</v>
      </c>
    </row>
    <row r="80" spans="1:10" s="2" customFormat="1" ht="13.5" customHeight="1">
      <c r="A80" s="404" t="s">
        <v>630</v>
      </c>
      <c r="B80" s="404"/>
      <c r="C80" s="404"/>
      <c r="D80" s="404"/>
      <c r="E80" s="404"/>
      <c r="F80" s="404"/>
      <c r="G80" s="427"/>
      <c r="H80" s="19">
        <v>280</v>
      </c>
      <c r="I80" s="77">
        <v>324609</v>
      </c>
      <c r="J80" s="77">
        <v>1429072</v>
      </c>
    </row>
    <row r="81" spans="1:10" s="2" customFormat="1" ht="13.5" customHeight="1">
      <c r="A81" s="404" t="s">
        <v>1</v>
      </c>
      <c r="B81" s="404"/>
      <c r="C81" s="404"/>
      <c r="D81" s="404"/>
      <c r="E81" s="404"/>
      <c r="F81" s="404"/>
      <c r="G81" s="427"/>
      <c r="H81" s="19">
        <v>281</v>
      </c>
      <c r="I81" s="77">
        <v>17438</v>
      </c>
      <c r="J81" s="77">
        <v>43159</v>
      </c>
    </row>
    <row r="82" spans="1:10" s="2" customFormat="1" ht="36" customHeight="1">
      <c r="A82" s="404" t="s">
        <v>4</v>
      </c>
      <c r="B82" s="404"/>
      <c r="C82" s="404"/>
      <c r="D82" s="404"/>
      <c r="E82" s="404"/>
      <c r="F82" s="404"/>
      <c r="G82" s="427"/>
      <c r="H82" s="19">
        <v>282</v>
      </c>
      <c r="I82" s="77">
        <v>0</v>
      </c>
      <c r="J82" s="77">
        <v>0</v>
      </c>
    </row>
    <row r="83" spans="1:10" s="2" customFormat="1" ht="13.5" customHeight="1">
      <c r="A83" s="404" t="s">
        <v>2</v>
      </c>
      <c r="B83" s="404"/>
      <c r="C83" s="404"/>
      <c r="D83" s="404"/>
      <c r="E83" s="404"/>
      <c r="F83" s="404"/>
      <c r="G83" s="427"/>
      <c r="H83" s="19">
        <v>283</v>
      </c>
      <c r="I83" s="77">
        <v>0</v>
      </c>
      <c r="J83" s="77">
        <v>0</v>
      </c>
    </row>
    <row r="84" spans="1:10" s="2" customFormat="1" ht="13.5" customHeight="1">
      <c r="A84" s="404" t="s">
        <v>3</v>
      </c>
      <c r="B84" s="404"/>
      <c r="C84" s="404"/>
      <c r="D84" s="404"/>
      <c r="E84" s="404"/>
      <c r="F84" s="404"/>
      <c r="G84" s="427"/>
      <c r="H84" s="19">
        <v>284</v>
      </c>
      <c r="I84" s="77">
        <v>0</v>
      </c>
      <c r="J84" s="77">
        <v>0</v>
      </c>
    </row>
    <row r="85" spans="1:10" s="2" customFormat="1" ht="24.75" customHeight="1">
      <c r="A85" s="404" t="s">
        <v>2220</v>
      </c>
      <c r="B85" s="404"/>
      <c r="C85" s="404"/>
      <c r="D85" s="404"/>
      <c r="E85" s="404"/>
      <c r="F85" s="404"/>
      <c r="G85" s="427"/>
      <c r="H85" s="19">
        <v>285</v>
      </c>
      <c r="I85" s="77">
        <v>0</v>
      </c>
      <c r="J85" s="77">
        <v>0</v>
      </c>
    </row>
    <row r="86" spans="1:10" s="2" customFormat="1" ht="24.75" customHeight="1">
      <c r="A86" s="421" t="s">
        <v>5</v>
      </c>
      <c r="B86" s="421"/>
      <c r="C86" s="421"/>
      <c r="D86" s="421"/>
      <c r="E86" s="421"/>
      <c r="F86" s="421"/>
      <c r="G86" s="430"/>
      <c r="H86" s="21">
        <v>286</v>
      </c>
      <c r="I86" s="78">
        <v>0</v>
      </c>
      <c r="J86" s="78">
        <v>0</v>
      </c>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23:J23 I37:J38 I40:J40 I78:J86 I73:J76 I88:J88 I71:J71 I17:J21 I25:J35 I42:J47 I49:J67">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44" activePane="bottomLeft" state="frozen"/>
      <selection pane="topLeft" activeCell="A1" sqref="A1"/>
      <selection pane="bottomLeft" activeCell="J40" sqref="J40"/>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43" t="s">
        <v>1454</v>
      </c>
      <c r="B2" s="444"/>
      <c r="C2" s="444"/>
      <c r="D2" s="444"/>
      <c r="E2" s="444"/>
      <c r="F2" s="444"/>
      <c r="G2" s="444"/>
      <c r="H2" s="444"/>
      <c r="I2" s="449"/>
      <c r="J2" s="385" t="s">
        <v>2593</v>
      </c>
      <c r="Q2" s="74">
        <f>IF(OR(MIN(I8:I60)&lt;0,MAX(I8:I60)&gt;0),1,0)</f>
        <v>1</v>
      </c>
      <c r="R2" s="73" t="s">
        <v>2585</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50"/>
      <c r="J3" s="433"/>
      <c r="Q3" s="74">
        <f>IF(OR(MIN(J8:J60)&lt;0,MAX(J8:J60)&gt;0),1,0)</f>
        <v>1</v>
      </c>
      <c r="R3" s="73" t="s">
        <v>2586</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94858559872; HOTELI VODICE d.d.</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v>-2591620</v>
      </c>
      <c r="J9" s="142">
        <v>-29425656</v>
      </c>
    </row>
    <row r="10" spans="1:10" s="2" customFormat="1" ht="13.5" customHeight="1">
      <c r="A10" s="404" t="s">
        <v>238</v>
      </c>
      <c r="B10" s="404"/>
      <c r="C10" s="404"/>
      <c r="D10" s="404"/>
      <c r="E10" s="404"/>
      <c r="F10" s="404"/>
      <c r="G10" s="19">
        <v>2</v>
      </c>
      <c r="H10" s="23"/>
      <c r="I10" s="125">
        <f>SUM(I11:I18)</f>
        <v>2327820</v>
      </c>
      <c r="J10" s="125">
        <f>SUM(J11:J18)</f>
        <v>23741565</v>
      </c>
    </row>
    <row r="11" spans="1:10" s="2" customFormat="1" ht="13.5" customHeight="1">
      <c r="A11" s="431" t="s">
        <v>2334</v>
      </c>
      <c r="B11" s="431"/>
      <c r="C11" s="431"/>
      <c r="D11" s="431"/>
      <c r="E11" s="431"/>
      <c r="F11" s="431"/>
      <c r="G11" s="19">
        <v>3</v>
      </c>
      <c r="H11" s="23"/>
      <c r="I11" s="126">
        <v>1539338</v>
      </c>
      <c r="J11" s="126">
        <v>1955319</v>
      </c>
    </row>
    <row r="12" spans="1:10" s="2" customFormat="1" ht="24.75" customHeight="1">
      <c r="A12" s="431" t="s">
        <v>2909</v>
      </c>
      <c r="B12" s="431"/>
      <c r="C12" s="431"/>
      <c r="D12" s="431"/>
      <c r="E12" s="431"/>
      <c r="F12" s="431"/>
      <c r="G12" s="19">
        <v>4</v>
      </c>
      <c r="H12" s="23"/>
      <c r="I12" s="126">
        <v>608260</v>
      </c>
      <c r="J12" s="126">
        <v>418064</v>
      </c>
    </row>
    <row r="13" spans="1:10" s="2" customFormat="1" ht="24.75" customHeight="1">
      <c r="A13" s="431" t="s">
        <v>2910</v>
      </c>
      <c r="B13" s="431"/>
      <c r="C13" s="431"/>
      <c r="D13" s="431"/>
      <c r="E13" s="431"/>
      <c r="F13" s="431"/>
      <c r="G13" s="19">
        <v>5</v>
      </c>
      <c r="H13" s="23"/>
      <c r="I13" s="126">
        <v>129329</v>
      </c>
      <c r="J13" s="126">
        <v>-106003</v>
      </c>
    </row>
    <row r="14" spans="1:12" s="2" customFormat="1" ht="13.5" customHeight="1">
      <c r="A14" s="431" t="s">
        <v>2335</v>
      </c>
      <c r="B14" s="431"/>
      <c r="C14" s="431"/>
      <c r="D14" s="431"/>
      <c r="E14" s="431"/>
      <c r="F14" s="431"/>
      <c r="G14" s="19">
        <v>6</v>
      </c>
      <c r="H14" s="23"/>
      <c r="I14" s="126">
        <v>-16480</v>
      </c>
      <c r="J14" s="126">
        <v>-16121</v>
      </c>
      <c r="L14" s="73"/>
    </row>
    <row r="15" spans="1:10" s="2" customFormat="1" ht="13.5" customHeight="1">
      <c r="A15" s="431" t="s">
        <v>2336</v>
      </c>
      <c r="B15" s="431"/>
      <c r="C15" s="431"/>
      <c r="D15" s="431"/>
      <c r="E15" s="431"/>
      <c r="F15" s="431"/>
      <c r="G15" s="19">
        <v>7</v>
      </c>
      <c r="H15" s="23"/>
      <c r="I15" s="126">
        <v>278013</v>
      </c>
      <c r="J15" s="126">
        <v>637100</v>
      </c>
    </row>
    <row r="16" spans="1:10" s="2" customFormat="1" ht="13.5" customHeight="1">
      <c r="A16" s="431" t="s">
        <v>2337</v>
      </c>
      <c r="B16" s="431"/>
      <c r="C16" s="431"/>
      <c r="D16" s="431"/>
      <c r="E16" s="431"/>
      <c r="F16" s="431"/>
      <c r="G16" s="19">
        <v>8</v>
      </c>
      <c r="H16" s="23"/>
      <c r="I16" s="126">
        <v>0</v>
      </c>
      <c r="J16" s="126">
        <v>3111684</v>
      </c>
    </row>
    <row r="17" spans="1:10" s="2" customFormat="1" ht="13.5" customHeight="1">
      <c r="A17" s="431" t="s">
        <v>2338</v>
      </c>
      <c r="B17" s="431"/>
      <c r="C17" s="431"/>
      <c r="D17" s="431"/>
      <c r="E17" s="431"/>
      <c r="F17" s="431"/>
      <c r="G17" s="19">
        <v>9</v>
      </c>
      <c r="H17" s="23"/>
      <c r="I17" s="126">
        <v>-381215</v>
      </c>
      <c r="J17" s="126">
        <v>148934</v>
      </c>
    </row>
    <row r="18" spans="1:10" s="2" customFormat="1" ht="13.5" customHeight="1">
      <c r="A18" s="431" t="s">
        <v>2908</v>
      </c>
      <c r="B18" s="431"/>
      <c r="C18" s="431"/>
      <c r="D18" s="431"/>
      <c r="E18" s="431"/>
      <c r="F18" s="431"/>
      <c r="G18" s="19">
        <v>10</v>
      </c>
      <c r="H18" s="23"/>
      <c r="I18" s="126">
        <v>170575</v>
      </c>
      <c r="J18" s="126">
        <v>17592588</v>
      </c>
    </row>
    <row r="19" spans="1:14" s="2" customFormat="1" ht="24.75" customHeight="1">
      <c r="A19" s="405" t="s">
        <v>2907</v>
      </c>
      <c r="B19" s="405"/>
      <c r="C19" s="405"/>
      <c r="D19" s="405"/>
      <c r="E19" s="405"/>
      <c r="F19" s="405"/>
      <c r="G19" s="19">
        <v>11</v>
      </c>
      <c r="H19" s="23"/>
      <c r="I19" s="125">
        <f>I9+I10</f>
        <v>-263800</v>
      </c>
      <c r="J19" s="125">
        <f>J9+J10</f>
        <v>-5684091</v>
      </c>
      <c r="N19" s="2">
        <f>IF(MIN(NT_I!I11:J11,NT_I!I15:J15,NT_I!I30:J36,NT_I!I59:J60)&lt;0,1,0)</f>
        <v>0</v>
      </c>
    </row>
    <row r="20" spans="1:10" s="2" customFormat="1" ht="13.5" customHeight="1">
      <c r="A20" s="404" t="s">
        <v>461</v>
      </c>
      <c r="B20" s="404"/>
      <c r="C20" s="404"/>
      <c r="D20" s="404"/>
      <c r="E20" s="404"/>
      <c r="F20" s="404"/>
      <c r="G20" s="19">
        <v>12</v>
      </c>
      <c r="H20" s="23"/>
      <c r="I20" s="125">
        <f>SUM(I21:I24)</f>
        <v>1863680</v>
      </c>
      <c r="J20" s="125">
        <f>SUM(J21:J24)</f>
        <v>-13507011</v>
      </c>
    </row>
    <row r="21" spans="1:10" s="2" customFormat="1" ht="13.5" customHeight="1">
      <c r="A21" s="431" t="s">
        <v>2052</v>
      </c>
      <c r="B21" s="431"/>
      <c r="C21" s="431"/>
      <c r="D21" s="431"/>
      <c r="E21" s="431"/>
      <c r="F21" s="431"/>
      <c r="G21" s="19">
        <v>13</v>
      </c>
      <c r="H21" s="23"/>
      <c r="I21" s="126">
        <v>4293093</v>
      </c>
      <c r="J21" s="126">
        <v>-13245999</v>
      </c>
    </row>
    <row r="22" spans="1:10" s="2" customFormat="1" ht="13.5" customHeight="1">
      <c r="A22" s="431" t="s">
        <v>2053</v>
      </c>
      <c r="B22" s="431"/>
      <c r="C22" s="431"/>
      <c r="D22" s="431"/>
      <c r="E22" s="431"/>
      <c r="F22" s="431"/>
      <c r="G22" s="19">
        <v>14</v>
      </c>
      <c r="H22" s="23"/>
      <c r="I22" s="126">
        <v>-62959</v>
      </c>
      <c r="J22" s="126">
        <v>2451535</v>
      </c>
    </row>
    <row r="23" spans="1:10" s="2" customFormat="1" ht="13.5" customHeight="1">
      <c r="A23" s="431" t="s">
        <v>2054</v>
      </c>
      <c r="B23" s="431"/>
      <c r="C23" s="431"/>
      <c r="D23" s="431"/>
      <c r="E23" s="431"/>
      <c r="F23" s="431"/>
      <c r="G23" s="19">
        <v>15</v>
      </c>
      <c r="H23" s="23"/>
      <c r="I23" s="126">
        <v>11365</v>
      </c>
      <c r="J23" s="126">
        <v>59501</v>
      </c>
    </row>
    <row r="24" spans="1:10" s="2" customFormat="1" ht="13.5" customHeight="1">
      <c r="A24" s="431" t="s">
        <v>2055</v>
      </c>
      <c r="B24" s="431"/>
      <c r="C24" s="431"/>
      <c r="D24" s="431"/>
      <c r="E24" s="431"/>
      <c r="F24" s="431"/>
      <c r="G24" s="19">
        <v>16</v>
      </c>
      <c r="H24" s="23"/>
      <c r="I24" s="126">
        <v>-2377819</v>
      </c>
      <c r="J24" s="126">
        <v>-2772048</v>
      </c>
    </row>
    <row r="25" spans="1:10" s="2" customFormat="1" ht="13.5" customHeight="1">
      <c r="A25" s="405" t="s">
        <v>2523</v>
      </c>
      <c r="B25" s="405"/>
      <c r="C25" s="405"/>
      <c r="D25" s="405"/>
      <c r="E25" s="405"/>
      <c r="F25" s="405"/>
      <c r="G25" s="19">
        <v>17</v>
      </c>
      <c r="H25" s="23"/>
      <c r="I25" s="125">
        <f>I19+I20</f>
        <v>1599880</v>
      </c>
      <c r="J25" s="125">
        <f>J19+J20</f>
        <v>-19191102</v>
      </c>
    </row>
    <row r="26" spans="1:10" s="2" customFormat="1" ht="13.5" customHeight="1">
      <c r="A26" s="404" t="s">
        <v>226</v>
      </c>
      <c r="B26" s="404"/>
      <c r="C26" s="404"/>
      <c r="D26" s="404"/>
      <c r="E26" s="404"/>
      <c r="F26" s="404"/>
      <c r="G26" s="19">
        <v>18</v>
      </c>
      <c r="H26" s="23"/>
      <c r="I26" s="126">
        <v>-234984</v>
      </c>
      <c r="J26" s="126">
        <v>-327787</v>
      </c>
    </row>
    <row r="27" spans="1:10" s="2" customFormat="1" ht="13.5" customHeight="1">
      <c r="A27" s="404" t="s">
        <v>227</v>
      </c>
      <c r="B27" s="404"/>
      <c r="C27" s="404"/>
      <c r="D27" s="404"/>
      <c r="E27" s="404"/>
      <c r="F27" s="404"/>
      <c r="G27" s="19">
        <v>19</v>
      </c>
      <c r="H27" s="23"/>
      <c r="I27" s="126">
        <v>0</v>
      </c>
      <c r="J27" s="126">
        <v>0</v>
      </c>
    </row>
    <row r="28" spans="1:10" s="2" customFormat="1" ht="13.5" customHeight="1">
      <c r="A28" s="455" t="s">
        <v>237</v>
      </c>
      <c r="B28" s="455"/>
      <c r="C28" s="455"/>
      <c r="D28" s="455"/>
      <c r="E28" s="455"/>
      <c r="F28" s="455"/>
      <c r="G28" s="21">
        <v>20</v>
      </c>
      <c r="H28" s="24"/>
      <c r="I28" s="127">
        <f>SUM(I25:I27)</f>
        <v>1364896</v>
      </c>
      <c r="J28" s="127">
        <f>SUM(J25:J27)</f>
        <v>-19518889</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v>0</v>
      </c>
      <c r="J30" s="94">
        <v>1515802</v>
      </c>
    </row>
    <row r="31" spans="1:10" s="2" customFormat="1" ht="13.5" customHeight="1">
      <c r="A31" s="404" t="s">
        <v>229</v>
      </c>
      <c r="B31" s="404"/>
      <c r="C31" s="404"/>
      <c r="D31" s="404"/>
      <c r="E31" s="404"/>
      <c r="F31" s="404"/>
      <c r="G31" s="19">
        <v>22</v>
      </c>
      <c r="H31" s="23"/>
      <c r="I31" s="77">
        <v>0</v>
      </c>
      <c r="J31" s="77">
        <v>0</v>
      </c>
    </row>
    <row r="32" spans="1:10" s="2" customFormat="1" ht="13.5" customHeight="1">
      <c r="A32" s="404" t="s">
        <v>230</v>
      </c>
      <c r="B32" s="404"/>
      <c r="C32" s="404"/>
      <c r="D32" s="404"/>
      <c r="E32" s="404"/>
      <c r="F32" s="404"/>
      <c r="G32" s="19">
        <v>23</v>
      </c>
      <c r="H32" s="23"/>
      <c r="I32" s="77">
        <v>35</v>
      </c>
      <c r="J32" s="77">
        <v>1</v>
      </c>
    </row>
    <row r="33" spans="1:10" s="2" customFormat="1" ht="13.5" customHeight="1">
      <c r="A33" s="404" t="s">
        <v>231</v>
      </c>
      <c r="B33" s="404"/>
      <c r="C33" s="404"/>
      <c r="D33" s="404"/>
      <c r="E33" s="404"/>
      <c r="F33" s="404"/>
      <c r="G33" s="19">
        <v>24</v>
      </c>
      <c r="H33" s="23"/>
      <c r="I33" s="77">
        <v>0</v>
      </c>
      <c r="J33" s="77">
        <v>0</v>
      </c>
    </row>
    <row r="34" spans="1:10" s="2" customFormat="1" ht="13.5" customHeight="1">
      <c r="A34" s="404" t="s">
        <v>232</v>
      </c>
      <c r="B34" s="404"/>
      <c r="C34" s="404"/>
      <c r="D34" s="404"/>
      <c r="E34" s="404"/>
      <c r="F34" s="404"/>
      <c r="G34" s="19">
        <v>25</v>
      </c>
      <c r="H34" s="23"/>
      <c r="I34" s="77">
        <v>0</v>
      </c>
      <c r="J34" s="77">
        <v>1304314</v>
      </c>
    </row>
    <row r="35" spans="1:10" s="2" customFormat="1" ht="13.5" customHeight="1">
      <c r="A35" s="404" t="s">
        <v>2057</v>
      </c>
      <c r="B35" s="404"/>
      <c r="C35" s="404"/>
      <c r="D35" s="404"/>
      <c r="E35" s="404"/>
      <c r="F35" s="404"/>
      <c r="G35" s="19">
        <v>26</v>
      </c>
      <c r="H35" s="23"/>
      <c r="I35" s="77">
        <v>0</v>
      </c>
      <c r="J35" s="77">
        <v>0</v>
      </c>
    </row>
    <row r="36" spans="1:10" s="2" customFormat="1" ht="13.5" customHeight="1">
      <c r="A36" s="405" t="s">
        <v>2522</v>
      </c>
      <c r="B36" s="405"/>
      <c r="C36" s="405"/>
      <c r="D36" s="405"/>
      <c r="E36" s="405"/>
      <c r="F36" s="405"/>
      <c r="G36" s="19">
        <v>27</v>
      </c>
      <c r="H36" s="23"/>
      <c r="I36" s="86">
        <f>SUM(I30:I35)</f>
        <v>35</v>
      </c>
      <c r="J36" s="86">
        <f>SUM(J30:J35)</f>
        <v>2820117</v>
      </c>
    </row>
    <row r="37" spans="1:10" s="2" customFormat="1" ht="13.5" customHeight="1">
      <c r="A37" s="404" t="s">
        <v>233</v>
      </c>
      <c r="B37" s="404"/>
      <c r="C37" s="404"/>
      <c r="D37" s="404"/>
      <c r="E37" s="404"/>
      <c r="F37" s="404"/>
      <c r="G37" s="19">
        <v>28</v>
      </c>
      <c r="H37" s="23"/>
      <c r="I37" s="77">
        <v>-1474413</v>
      </c>
      <c r="J37" s="77">
        <v>-154011</v>
      </c>
    </row>
    <row r="38" spans="1:10" s="2" customFormat="1" ht="13.5" customHeight="1">
      <c r="A38" s="404" t="s">
        <v>234</v>
      </c>
      <c r="B38" s="404"/>
      <c r="C38" s="404"/>
      <c r="D38" s="404"/>
      <c r="E38" s="404"/>
      <c r="F38" s="404"/>
      <c r="G38" s="19">
        <v>29</v>
      </c>
      <c r="H38" s="23"/>
      <c r="I38" s="77">
        <v>-20000</v>
      </c>
      <c r="J38" s="77">
        <v>0</v>
      </c>
    </row>
    <row r="39" spans="1:10" s="2" customFormat="1" ht="13.5" customHeight="1">
      <c r="A39" s="404" t="s">
        <v>235</v>
      </c>
      <c r="B39" s="404"/>
      <c r="C39" s="404"/>
      <c r="D39" s="404"/>
      <c r="E39" s="404"/>
      <c r="F39" s="404"/>
      <c r="G39" s="19">
        <v>30</v>
      </c>
      <c r="H39" s="23"/>
      <c r="I39" s="77">
        <v>-196694</v>
      </c>
      <c r="J39" s="77">
        <v>-1936445</v>
      </c>
    </row>
    <row r="40" spans="1:10" s="2" customFormat="1" ht="13.5" customHeight="1">
      <c r="A40" s="404" t="s">
        <v>236</v>
      </c>
      <c r="B40" s="404"/>
      <c r="C40" s="404"/>
      <c r="D40" s="404"/>
      <c r="E40" s="404"/>
      <c r="F40" s="404"/>
      <c r="G40" s="19">
        <v>31</v>
      </c>
      <c r="H40" s="23"/>
      <c r="I40" s="77">
        <v>0</v>
      </c>
      <c r="J40" s="77">
        <v>0</v>
      </c>
    </row>
    <row r="41" spans="1:10" s="2" customFormat="1" ht="13.5" customHeight="1">
      <c r="A41" s="404" t="s">
        <v>2058</v>
      </c>
      <c r="B41" s="404"/>
      <c r="C41" s="404"/>
      <c r="D41" s="404"/>
      <c r="E41" s="404"/>
      <c r="F41" s="404"/>
      <c r="G41" s="19">
        <v>32</v>
      </c>
      <c r="H41" s="23"/>
      <c r="I41" s="77">
        <v>0</v>
      </c>
      <c r="J41" s="77">
        <v>0</v>
      </c>
    </row>
    <row r="42" spans="1:10" s="2" customFormat="1" ht="13.5" customHeight="1">
      <c r="A42" s="405" t="s">
        <v>2425</v>
      </c>
      <c r="B42" s="405"/>
      <c r="C42" s="405"/>
      <c r="D42" s="405"/>
      <c r="E42" s="405"/>
      <c r="F42" s="405"/>
      <c r="G42" s="19">
        <v>33</v>
      </c>
      <c r="H42" s="23"/>
      <c r="I42" s="86">
        <f>SUM(I37:I41)</f>
        <v>-1691107</v>
      </c>
      <c r="J42" s="86">
        <f>SUM(J37:J41)</f>
        <v>-2090456</v>
      </c>
    </row>
    <row r="43" spans="1:10" s="2" customFormat="1" ht="13.5" customHeight="1">
      <c r="A43" s="455" t="s">
        <v>2510</v>
      </c>
      <c r="B43" s="455"/>
      <c r="C43" s="455"/>
      <c r="D43" s="455"/>
      <c r="E43" s="455"/>
      <c r="F43" s="455"/>
      <c r="G43" s="21">
        <v>34</v>
      </c>
      <c r="H43" s="24"/>
      <c r="I43" s="87">
        <f>I36+I42</f>
        <v>-1691072</v>
      </c>
      <c r="J43" s="87">
        <f>J36+J42</f>
        <v>729661</v>
      </c>
    </row>
    <row r="44" spans="1:10" s="2" customFormat="1" ht="15" customHeight="1">
      <c r="A44" s="422" t="s">
        <v>2426</v>
      </c>
      <c r="B44" s="423"/>
      <c r="C44" s="423"/>
      <c r="D44" s="423"/>
      <c r="E44" s="423"/>
      <c r="F44" s="423"/>
      <c r="G44" s="423"/>
      <c r="H44" s="423"/>
      <c r="I44" s="423"/>
      <c r="J44" s="424"/>
    </row>
    <row r="45" spans="1:10" s="2" customFormat="1" ht="13.5" customHeight="1">
      <c r="A45" s="425" t="s">
        <v>2429</v>
      </c>
      <c r="B45" s="425"/>
      <c r="C45" s="425"/>
      <c r="D45" s="425"/>
      <c r="E45" s="425"/>
      <c r="F45" s="425"/>
      <c r="G45" s="92">
        <v>35</v>
      </c>
      <c r="H45" s="124"/>
      <c r="I45" s="94">
        <v>0</v>
      </c>
      <c r="J45" s="94">
        <v>0</v>
      </c>
    </row>
    <row r="46" spans="1:10" s="2" customFormat="1" ht="13.5" customHeight="1">
      <c r="A46" s="404" t="s">
        <v>2430</v>
      </c>
      <c r="B46" s="404"/>
      <c r="C46" s="404"/>
      <c r="D46" s="404"/>
      <c r="E46" s="404"/>
      <c r="F46" s="404"/>
      <c r="G46" s="19">
        <v>36</v>
      </c>
      <c r="H46" s="23"/>
      <c r="I46" s="77">
        <v>0</v>
      </c>
      <c r="J46" s="77">
        <v>0</v>
      </c>
    </row>
    <row r="47" spans="1:10" s="2" customFormat="1" ht="13.5" customHeight="1">
      <c r="A47" s="404" t="s">
        <v>2431</v>
      </c>
      <c r="B47" s="404"/>
      <c r="C47" s="404"/>
      <c r="D47" s="404"/>
      <c r="E47" s="404"/>
      <c r="F47" s="404"/>
      <c r="G47" s="19">
        <v>37</v>
      </c>
      <c r="H47" s="23"/>
      <c r="I47" s="77">
        <v>566500</v>
      </c>
      <c r="J47" s="77">
        <v>19753657</v>
      </c>
    </row>
    <row r="48" spans="1:10" s="2" customFormat="1" ht="13.5" customHeight="1">
      <c r="A48" s="404" t="s">
        <v>2432</v>
      </c>
      <c r="B48" s="404"/>
      <c r="C48" s="404"/>
      <c r="D48" s="404"/>
      <c r="E48" s="404"/>
      <c r="F48" s="404"/>
      <c r="G48" s="19">
        <v>38</v>
      </c>
      <c r="H48" s="23"/>
      <c r="I48" s="77">
        <v>0</v>
      </c>
      <c r="J48" s="77">
        <v>0</v>
      </c>
    </row>
    <row r="49" spans="1:10" s="2" customFormat="1" ht="13.5" customHeight="1">
      <c r="A49" s="405" t="s">
        <v>2521</v>
      </c>
      <c r="B49" s="405"/>
      <c r="C49" s="405"/>
      <c r="D49" s="405"/>
      <c r="E49" s="405"/>
      <c r="F49" s="405"/>
      <c r="G49" s="19">
        <v>39</v>
      </c>
      <c r="H49" s="23"/>
      <c r="I49" s="86">
        <f>SUM(I45:I48)</f>
        <v>566500</v>
      </c>
      <c r="J49" s="86">
        <f>SUM(J45:J48)</f>
        <v>19753657</v>
      </c>
    </row>
    <row r="50" spans="1:10" s="2" customFormat="1" ht="24.75" customHeight="1">
      <c r="A50" s="404" t="s">
        <v>1736</v>
      </c>
      <c r="B50" s="404"/>
      <c r="C50" s="404"/>
      <c r="D50" s="404"/>
      <c r="E50" s="404"/>
      <c r="F50" s="404"/>
      <c r="G50" s="19">
        <v>40</v>
      </c>
      <c r="H50" s="23"/>
      <c r="I50" s="77">
        <v>-408693</v>
      </c>
      <c r="J50" s="77">
        <v>-840934</v>
      </c>
    </row>
    <row r="51" spans="1:10" s="2" customFormat="1" ht="13.5" customHeight="1">
      <c r="A51" s="404" t="s">
        <v>1921</v>
      </c>
      <c r="B51" s="404"/>
      <c r="C51" s="404"/>
      <c r="D51" s="404"/>
      <c r="E51" s="404"/>
      <c r="F51" s="404"/>
      <c r="G51" s="19">
        <v>41</v>
      </c>
      <c r="H51" s="23"/>
      <c r="I51" s="77">
        <v>0</v>
      </c>
      <c r="J51" s="77">
        <v>0</v>
      </c>
    </row>
    <row r="52" spans="1:10" s="2" customFormat="1" ht="13.5" customHeight="1">
      <c r="A52" s="404" t="s">
        <v>1922</v>
      </c>
      <c r="B52" s="404"/>
      <c r="C52" s="404"/>
      <c r="D52" s="404"/>
      <c r="E52" s="404"/>
      <c r="F52" s="404"/>
      <c r="G52" s="19">
        <v>42</v>
      </c>
      <c r="H52" s="23"/>
      <c r="I52" s="77">
        <v>0</v>
      </c>
      <c r="J52" s="77">
        <v>-103519</v>
      </c>
    </row>
    <row r="53" spans="1:10" s="2" customFormat="1" ht="13.5" customHeight="1">
      <c r="A53" s="404" t="s">
        <v>1737</v>
      </c>
      <c r="B53" s="404"/>
      <c r="C53" s="404"/>
      <c r="D53" s="404"/>
      <c r="E53" s="404"/>
      <c r="F53" s="404"/>
      <c r="G53" s="19">
        <v>43</v>
      </c>
      <c r="H53" s="23"/>
      <c r="I53" s="77">
        <v>0</v>
      </c>
      <c r="J53" s="77">
        <v>0</v>
      </c>
    </row>
    <row r="54" spans="1:10" s="2" customFormat="1" ht="13.5" customHeight="1">
      <c r="A54" s="404" t="s">
        <v>2911</v>
      </c>
      <c r="B54" s="404"/>
      <c r="C54" s="404"/>
      <c r="D54" s="404"/>
      <c r="E54" s="404"/>
      <c r="F54" s="404"/>
      <c r="G54" s="19">
        <v>44</v>
      </c>
      <c r="H54" s="23"/>
      <c r="I54" s="77">
        <v>0</v>
      </c>
      <c r="J54" s="77">
        <v>0</v>
      </c>
    </row>
    <row r="55" spans="1:10" s="2" customFormat="1" ht="13.5" customHeight="1">
      <c r="A55" s="405" t="s">
        <v>2912</v>
      </c>
      <c r="B55" s="405"/>
      <c r="C55" s="405"/>
      <c r="D55" s="405"/>
      <c r="E55" s="405"/>
      <c r="F55" s="405"/>
      <c r="G55" s="19">
        <v>45</v>
      </c>
      <c r="H55" s="23"/>
      <c r="I55" s="86">
        <f>SUM(I50:I54)</f>
        <v>-408693</v>
      </c>
      <c r="J55" s="86">
        <f>SUM(J50:J54)</f>
        <v>-944453</v>
      </c>
    </row>
    <row r="56" spans="1:10" s="2" customFormat="1" ht="13.5" customHeight="1">
      <c r="A56" s="409" t="s">
        <v>9</v>
      </c>
      <c r="B56" s="409"/>
      <c r="C56" s="409"/>
      <c r="D56" s="409"/>
      <c r="E56" s="409"/>
      <c r="F56" s="409"/>
      <c r="G56" s="19">
        <v>46</v>
      </c>
      <c r="H56" s="23"/>
      <c r="I56" s="86">
        <f>I49+I55</f>
        <v>157807</v>
      </c>
      <c r="J56" s="86">
        <f>J49+J55</f>
        <v>18809204</v>
      </c>
    </row>
    <row r="57" spans="1:10" s="2" customFormat="1" ht="13.5" customHeight="1">
      <c r="A57" s="381" t="s">
        <v>2427</v>
      </c>
      <c r="B57" s="381"/>
      <c r="C57" s="381"/>
      <c r="D57" s="381"/>
      <c r="E57" s="381"/>
      <c r="F57" s="381"/>
      <c r="G57" s="19">
        <v>47</v>
      </c>
      <c r="H57" s="23"/>
      <c r="I57" s="77">
        <v>0</v>
      </c>
      <c r="J57" s="77">
        <v>0</v>
      </c>
    </row>
    <row r="58" spans="1:10" s="2" customFormat="1" ht="13.5" customHeight="1">
      <c r="A58" s="409" t="s">
        <v>1735</v>
      </c>
      <c r="B58" s="409"/>
      <c r="C58" s="409"/>
      <c r="D58" s="409"/>
      <c r="E58" s="409"/>
      <c r="F58" s="409"/>
      <c r="G58" s="19">
        <v>48</v>
      </c>
      <c r="H58" s="23"/>
      <c r="I58" s="86">
        <f>I28+I43+I56+I57</f>
        <v>-168369</v>
      </c>
      <c r="J58" s="86">
        <f>J28+J43+J56+J57</f>
        <v>19976</v>
      </c>
    </row>
    <row r="59" spans="1:10" s="2" customFormat="1" ht="13.5" customHeight="1">
      <c r="A59" s="409" t="s">
        <v>2428</v>
      </c>
      <c r="B59" s="409"/>
      <c r="C59" s="409"/>
      <c r="D59" s="409"/>
      <c r="E59" s="409"/>
      <c r="F59" s="409"/>
      <c r="G59" s="19">
        <v>49</v>
      </c>
      <c r="H59" s="23"/>
      <c r="I59" s="77">
        <v>369182</v>
      </c>
      <c r="J59" s="77">
        <v>200813</v>
      </c>
    </row>
    <row r="60" spans="1:18" s="2" customFormat="1" ht="13.5" customHeight="1">
      <c r="A60" s="455" t="s">
        <v>1734</v>
      </c>
      <c r="B60" s="455"/>
      <c r="C60" s="455"/>
      <c r="D60" s="455"/>
      <c r="E60" s="455"/>
      <c r="F60" s="455"/>
      <c r="G60" s="21">
        <v>50</v>
      </c>
      <c r="H60" s="24"/>
      <c r="I60" s="87">
        <f>I59+I58</f>
        <v>200813</v>
      </c>
      <c r="J60" s="87">
        <f>J59+J58</f>
        <v>220789</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J43" sqref="J43"/>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2594</v>
      </c>
      <c r="Q2" s="74">
        <f>IF(OR(MIN(I8:I52)&lt;0,MAX(I8:I52)&gt;0),1,0)</f>
        <v>0</v>
      </c>
      <c r="R2" s="73" t="s">
        <v>2585</v>
      </c>
    </row>
    <row r="3" spans="1:18" s="2" customFormat="1" ht="19.5" customHeight="1" thickBot="1">
      <c r="A3" s="446" t="str">
        <f>"u razdoblju "&amp;IF(RefStr!C4&lt;&gt;"",TEXT(RefStr!C4,"DD.MM.YYYY."),"__.__.____.")&amp;" do "&amp;IF(RefStr!F4&lt;&gt;"",TEXT(RefStr!F4,"DD.MM.YYYY."),"__.__.____.")</f>
        <v>u razdoblju 01.01.2019. do 31.12.2019.</v>
      </c>
      <c r="B3" s="447"/>
      <c r="C3" s="447"/>
      <c r="D3" s="447"/>
      <c r="E3" s="447"/>
      <c r="F3" s="447"/>
      <c r="G3" s="447"/>
      <c r="H3" s="447"/>
      <c r="I3" s="448"/>
      <c r="J3" s="433"/>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94858559872; HOTELI VODICE d.d.</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2526</v>
      </c>
      <c r="B9" s="425"/>
      <c r="C9" s="425"/>
      <c r="D9" s="425"/>
      <c r="E9" s="425"/>
      <c r="F9" s="425"/>
      <c r="G9" s="92">
        <v>1</v>
      </c>
      <c r="H9" s="124"/>
      <c r="I9" s="94">
        <v>0</v>
      </c>
      <c r="J9" s="94">
        <v>0</v>
      </c>
    </row>
    <row r="10" spans="1:10" s="2" customFormat="1" ht="13.5" customHeight="1">
      <c r="A10" s="404" t="s">
        <v>2527</v>
      </c>
      <c r="B10" s="404"/>
      <c r="C10" s="404"/>
      <c r="D10" s="404"/>
      <c r="E10" s="404"/>
      <c r="F10" s="404"/>
      <c r="G10" s="19">
        <v>2</v>
      </c>
      <c r="H10" s="23"/>
      <c r="I10" s="77">
        <v>0</v>
      </c>
      <c r="J10" s="77">
        <v>0</v>
      </c>
    </row>
    <row r="11" spans="1:10" s="2" customFormat="1" ht="13.5" customHeight="1">
      <c r="A11" s="404" t="s">
        <v>2528</v>
      </c>
      <c r="B11" s="404"/>
      <c r="C11" s="404"/>
      <c r="D11" s="404"/>
      <c r="E11" s="404"/>
      <c r="F11" s="404"/>
      <c r="G11" s="19">
        <v>3</v>
      </c>
      <c r="H11" s="23"/>
      <c r="I11" s="77">
        <v>0</v>
      </c>
      <c r="J11" s="77">
        <v>0</v>
      </c>
    </row>
    <row r="12" spans="1:10" s="2" customFormat="1" ht="13.5" customHeight="1">
      <c r="A12" s="404" t="s">
        <v>2529</v>
      </c>
      <c r="B12" s="404"/>
      <c r="C12" s="404"/>
      <c r="D12" s="404"/>
      <c r="E12" s="404"/>
      <c r="F12" s="404"/>
      <c r="G12" s="19">
        <v>4</v>
      </c>
      <c r="H12" s="23"/>
      <c r="I12" s="77">
        <v>0</v>
      </c>
      <c r="J12" s="77">
        <v>0</v>
      </c>
    </row>
    <row r="13" spans="1:10" s="2" customFormat="1" ht="13.5" customHeight="1">
      <c r="A13" s="404" t="s">
        <v>1419</v>
      </c>
      <c r="B13" s="404"/>
      <c r="C13" s="404"/>
      <c r="D13" s="404"/>
      <c r="E13" s="404"/>
      <c r="F13" s="404"/>
      <c r="G13" s="19">
        <v>5</v>
      </c>
      <c r="H13" s="23"/>
      <c r="I13" s="77">
        <v>0</v>
      </c>
      <c r="J13" s="77">
        <v>0</v>
      </c>
    </row>
    <row r="14" spans="1:10" s="2" customFormat="1" ht="13.5" customHeight="1">
      <c r="A14" s="404" t="s">
        <v>1420</v>
      </c>
      <c r="B14" s="404"/>
      <c r="C14" s="404"/>
      <c r="D14" s="404"/>
      <c r="E14" s="404"/>
      <c r="F14" s="404"/>
      <c r="G14" s="19">
        <v>6</v>
      </c>
      <c r="H14" s="23"/>
      <c r="I14" s="77">
        <v>0</v>
      </c>
      <c r="J14" s="77">
        <v>0</v>
      </c>
    </row>
    <row r="15" spans="1:10" s="2" customFormat="1" ht="13.5" customHeight="1">
      <c r="A15" s="404" t="s">
        <v>1421</v>
      </c>
      <c r="B15" s="404"/>
      <c r="C15" s="404"/>
      <c r="D15" s="404"/>
      <c r="E15" s="404"/>
      <c r="F15" s="404"/>
      <c r="G15" s="19">
        <v>7</v>
      </c>
      <c r="H15" s="23"/>
      <c r="I15" s="77">
        <v>0</v>
      </c>
      <c r="J15" s="77">
        <v>0</v>
      </c>
    </row>
    <row r="16" spans="1:10" s="2" customFormat="1" ht="13.5" customHeight="1">
      <c r="A16" s="404" t="s">
        <v>1422</v>
      </c>
      <c r="B16" s="404"/>
      <c r="C16" s="404"/>
      <c r="D16" s="404"/>
      <c r="E16" s="404"/>
      <c r="F16" s="404"/>
      <c r="G16" s="19">
        <v>8</v>
      </c>
      <c r="H16" s="23"/>
      <c r="I16" s="77">
        <v>0</v>
      </c>
      <c r="J16" s="77">
        <v>0</v>
      </c>
    </row>
    <row r="17" spans="1:10" s="2" customFormat="1" ht="13.5" customHeight="1">
      <c r="A17" s="405" t="s">
        <v>2524</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v>0</v>
      </c>
      <c r="J18" s="77">
        <v>0</v>
      </c>
    </row>
    <row r="19" spans="1:10" s="2" customFormat="1" ht="13.5" customHeight="1">
      <c r="A19" s="404" t="s">
        <v>2525</v>
      </c>
      <c r="B19" s="404"/>
      <c r="C19" s="404"/>
      <c r="D19" s="404"/>
      <c r="E19" s="404"/>
      <c r="F19" s="404"/>
      <c r="G19" s="19">
        <v>11</v>
      </c>
      <c r="H19" s="23"/>
      <c r="I19" s="77">
        <v>0</v>
      </c>
      <c r="J19" s="77">
        <v>0</v>
      </c>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v>0</v>
      </c>
      <c r="J22" s="94">
        <v>0</v>
      </c>
    </row>
    <row r="23" spans="1:10" s="2" customFormat="1" ht="13.5" customHeight="1">
      <c r="A23" s="404" t="s">
        <v>1831</v>
      </c>
      <c r="B23" s="404"/>
      <c r="C23" s="404"/>
      <c r="D23" s="404"/>
      <c r="E23" s="404"/>
      <c r="F23" s="404"/>
      <c r="G23" s="19">
        <v>14</v>
      </c>
      <c r="H23" s="23"/>
      <c r="I23" s="77">
        <v>0</v>
      </c>
      <c r="J23" s="77">
        <v>0</v>
      </c>
    </row>
    <row r="24" spans="1:10" s="2" customFormat="1" ht="13.5" customHeight="1">
      <c r="A24" s="404" t="s">
        <v>1832</v>
      </c>
      <c r="B24" s="404"/>
      <c r="C24" s="404"/>
      <c r="D24" s="404"/>
      <c r="E24" s="404"/>
      <c r="F24" s="404"/>
      <c r="G24" s="19">
        <v>15</v>
      </c>
      <c r="H24" s="23"/>
      <c r="I24" s="77">
        <v>0</v>
      </c>
      <c r="J24" s="77">
        <v>0</v>
      </c>
    </row>
    <row r="25" spans="1:10" s="2" customFormat="1" ht="13.5" customHeight="1">
      <c r="A25" s="404" t="s">
        <v>225</v>
      </c>
      <c r="B25" s="404"/>
      <c r="C25" s="404"/>
      <c r="D25" s="404"/>
      <c r="E25" s="404"/>
      <c r="F25" s="404"/>
      <c r="G25" s="19">
        <v>16</v>
      </c>
      <c r="H25" s="23"/>
      <c r="I25" s="77">
        <v>0</v>
      </c>
      <c r="J25" s="77">
        <v>0</v>
      </c>
    </row>
    <row r="26" spans="1:10" s="2" customFormat="1" ht="13.5" customHeight="1">
      <c r="A26" s="404" t="s">
        <v>441</v>
      </c>
      <c r="B26" s="404"/>
      <c r="C26" s="404"/>
      <c r="D26" s="404"/>
      <c r="E26" s="404"/>
      <c r="F26" s="404"/>
      <c r="G26" s="19">
        <v>17</v>
      </c>
      <c r="H26" s="23"/>
      <c r="I26" s="77">
        <v>0</v>
      </c>
      <c r="J26" s="77">
        <v>0</v>
      </c>
    </row>
    <row r="27" spans="1:10" s="2" customFormat="1" ht="13.5" customHeight="1">
      <c r="A27" s="404" t="s">
        <v>224</v>
      </c>
      <c r="B27" s="404"/>
      <c r="C27" s="404"/>
      <c r="D27" s="404"/>
      <c r="E27" s="404"/>
      <c r="F27" s="404"/>
      <c r="G27" s="19">
        <v>18</v>
      </c>
      <c r="H27" s="23"/>
      <c r="I27" s="77">
        <v>0</v>
      </c>
      <c r="J27" s="77">
        <v>0</v>
      </c>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v>0</v>
      </c>
      <c r="J29" s="77">
        <v>0</v>
      </c>
    </row>
    <row r="30" spans="1:10" s="2" customFormat="1" ht="13.5" customHeight="1">
      <c r="A30" s="404" t="s">
        <v>443</v>
      </c>
      <c r="B30" s="404"/>
      <c r="C30" s="404"/>
      <c r="D30" s="404"/>
      <c r="E30" s="404"/>
      <c r="F30" s="404"/>
      <c r="G30" s="19">
        <v>21</v>
      </c>
      <c r="H30" s="23"/>
      <c r="I30" s="77">
        <v>0</v>
      </c>
      <c r="J30" s="77">
        <v>0</v>
      </c>
    </row>
    <row r="31" spans="1:10" s="2" customFormat="1" ht="13.5" customHeight="1">
      <c r="A31" s="404" t="s">
        <v>444</v>
      </c>
      <c r="B31" s="404"/>
      <c r="C31" s="404"/>
      <c r="D31" s="404"/>
      <c r="E31" s="404"/>
      <c r="F31" s="404"/>
      <c r="G31" s="19">
        <v>22</v>
      </c>
      <c r="H31" s="23"/>
      <c r="I31" s="77">
        <v>0</v>
      </c>
      <c r="J31" s="77">
        <v>0</v>
      </c>
    </row>
    <row r="32" spans="1:10" s="2" customFormat="1" ht="13.5" customHeight="1">
      <c r="A32" s="404" t="s">
        <v>445</v>
      </c>
      <c r="B32" s="404"/>
      <c r="C32" s="404"/>
      <c r="D32" s="404"/>
      <c r="E32" s="404"/>
      <c r="F32" s="404"/>
      <c r="G32" s="19">
        <v>23</v>
      </c>
      <c r="H32" s="23"/>
      <c r="I32" s="77">
        <v>0</v>
      </c>
      <c r="J32" s="77">
        <v>0</v>
      </c>
    </row>
    <row r="33" spans="1:10" s="2" customFormat="1" ht="13.5" customHeight="1">
      <c r="A33" s="404" t="s">
        <v>446</v>
      </c>
      <c r="B33" s="404"/>
      <c r="C33" s="404"/>
      <c r="D33" s="404"/>
      <c r="E33" s="404"/>
      <c r="F33" s="404"/>
      <c r="G33" s="19">
        <v>24</v>
      </c>
      <c r="H33" s="23"/>
      <c r="I33" s="77">
        <v>0</v>
      </c>
      <c r="J33" s="77">
        <v>0</v>
      </c>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2426</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v>0</v>
      </c>
      <c r="J37" s="94">
        <v>0</v>
      </c>
    </row>
    <row r="38" spans="1:10" s="2" customFormat="1" ht="24.75" customHeight="1">
      <c r="A38" s="381" t="s">
        <v>448</v>
      </c>
      <c r="B38" s="381"/>
      <c r="C38" s="381"/>
      <c r="D38" s="381"/>
      <c r="E38" s="381"/>
      <c r="F38" s="381"/>
      <c r="G38" s="19">
        <v>28</v>
      </c>
      <c r="H38" s="23"/>
      <c r="I38" s="77">
        <v>0</v>
      </c>
      <c r="J38" s="77">
        <v>0</v>
      </c>
    </row>
    <row r="39" spans="1:10" s="2" customFormat="1" ht="13.5" customHeight="1">
      <c r="A39" s="381" t="s">
        <v>449</v>
      </c>
      <c r="B39" s="381"/>
      <c r="C39" s="381"/>
      <c r="D39" s="381"/>
      <c r="E39" s="381"/>
      <c r="F39" s="381"/>
      <c r="G39" s="19">
        <v>29</v>
      </c>
      <c r="H39" s="23"/>
      <c r="I39" s="77">
        <v>0</v>
      </c>
      <c r="J39" s="77">
        <v>0</v>
      </c>
    </row>
    <row r="40" spans="1:10" s="2" customFormat="1" ht="13.5" customHeight="1">
      <c r="A40" s="381" t="s">
        <v>450</v>
      </c>
      <c r="B40" s="381"/>
      <c r="C40" s="381"/>
      <c r="D40" s="381"/>
      <c r="E40" s="381"/>
      <c r="F40" s="381"/>
      <c r="G40" s="19">
        <v>30</v>
      </c>
      <c r="H40" s="23"/>
      <c r="I40" s="77">
        <v>0</v>
      </c>
      <c r="J40" s="77">
        <v>0</v>
      </c>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v>0</v>
      </c>
      <c r="J42" s="77">
        <v>0</v>
      </c>
    </row>
    <row r="43" spans="1:10" s="2" customFormat="1" ht="13.5" customHeight="1">
      <c r="A43" s="381" t="s">
        <v>453</v>
      </c>
      <c r="B43" s="381"/>
      <c r="C43" s="381"/>
      <c r="D43" s="381"/>
      <c r="E43" s="381"/>
      <c r="F43" s="381"/>
      <c r="G43" s="19">
        <v>33</v>
      </c>
      <c r="H43" s="23"/>
      <c r="I43" s="77">
        <v>0</v>
      </c>
      <c r="J43" s="77">
        <v>0</v>
      </c>
    </row>
    <row r="44" spans="1:10" s="2" customFormat="1" ht="13.5" customHeight="1">
      <c r="A44" s="381" t="s">
        <v>454</v>
      </c>
      <c r="B44" s="381"/>
      <c r="C44" s="381"/>
      <c r="D44" s="381"/>
      <c r="E44" s="381"/>
      <c r="F44" s="381"/>
      <c r="G44" s="19">
        <v>34</v>
      </c>
      <c r="H44" s="23"/>
      <c r="I44" s="77">
        <v>0</v>
      </c>
      <c r="J44" s="77">
        <v>0</v>
      </c>
    </row>
    <row r="45" spans="1:10" s="2" customFormat="1" ht="25.5" customHeight="1">
      <c r="A45" s="381" t="s">
        <v>2117</v>
      </c>
      <c r="B45" s="381"/>
      <c r="C45" s="381"/>
      <c r="D45" s="381"/>
      <c r="E45" s="381"/>
      <c r="F45" s="381"/>
      <c r="G45" s="19">
        <v>35</v>
      </c>
      <c r="H45" s="23"/>
      <c r="I45" s="77">
        <v>0</v>
      </c>
      <c r="J45" s="77">
        <v>0</v>
      </c>
    </row>
    <row r="46" spans="1:10" s="2" customFormat="1" ht="13.5" customHeight="1">
      <c r="A46" s="381" t="s">
        <v>455</v>
      </c>
      <c r="B46" s="381"/>
      <c r="C46" s="381"/>
      <c r="D46" s="381"/>
      <c r="E46" s="381"/>
      <c r="F46" s="381"/>
      <c r="G46" s="19">
        <v>36</v>
      </c>
      <c r="H46" s="23"/>
      <c r="I46" s="77">
        <v>0</v>
      </c>
      <c r="J46" s="77">
        <v>0</v>
      </c>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v>0</v>
      </c>
      <c r="J49" s="77">
        <v>0</v>
      </c>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2428</v>
      </c>
      <c r="B51" s="409"/>
      <c r="C51" s="409"/>
      <c r="D51" s="409"/>
      <c r="E51" s="409"/>
      <c r="F51" s="409"/>
      <c r="G51" s="19">
        <v>41</v>
      </c>
      <c r="H51" s="23"/>
      <c r="I51" s="77">
        <v>0</v>
      </c>
      <c r="J51" s="77">
        <v>0</v>
      </c>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B1">
      <pane ySplit="1" topLeftCell="A35" activePane="bottomLeft" state="frozen"/>
      <selection pane="topLeft" activeCell="A1" sqref="A1"/>
      <selection pane="bottomLeft" activeCell="T45" sqref="T45"/>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2595</v>
      </c>
      <c r="Q2" s="464"/>
      <c r="R2" s="464"/>
      <c r="S2" s="464"/>
      <c r="T2" s="464"/>
      <c r="U2" s="464"/>
      <c r="V2" s="464"/>
      <c r="W2" s="465"/>
      <c r="X2" s="385" t="s">
        <v>2595</v>
      </c>
      <c r="AA2" s="3">
        <f>IF(OR(MAX(H10:X32)&lt;&gt;0,MIN(H10:X32)&lt;&gt;0),1,0)</f>
        <v>1</v>
      </c>
      <c r="AB2" s="3" t="s">
        <v>2597</v>
      </c>
    </row>
    <row r="3" spans="1:28" s="3" customFormat="1" ht="19.5" customHeight="1" thickBot="1">
      <c r="A3" s="476" t="str">
        <f>"za razdoblje od "&amp;IF(RefStr!C4&lt;&gt;"",TEXT(RefStr!C4,"DD.MM.YYYY."),"__.__.____.")&amp;" do "&amp;IF(RefStr!F4&lt;&gt;"",TEXT(RefStr!F4,"DD.MM.YYYY."),"__.__.____.")</f>
        <v>za razdoblje od 01.01.2019. do 31.12.2019.</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94858559872; HOTELI VODICE d.d.</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2893</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2598</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1</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157743374</v>
      </c>
      <c r="J10" s="25">
        <v>0</v>
      </c>
      <c r="K10" s="25">
        <v>0</v>
      </c>
      <c r="L10" s="25">
        <v>0</v>
      </c>
      <c r="M10" s="25">
        <v>11164</v>
      </c>
      <c r="N10" s="25">
        <v>0</v>
      </c>
      <c r="O10" s="25">
        <v>0</v>
      </c>
      <c r="P10" s="25">
        <v>147995627</v>
      </c>
      <c r="Q10" s="25">
        <v>0</v>
      </c>
      <c r="R10" s="25">
        <v>0</v>
      </c>
      <c r="S10" s="25">
        <v>0</v>
      </c>
      <c r="T10" s="25">
        <v>-127822134</v>
      </c>
      <c r="U10" s="25">
        <v>-124900</v>
      </c>
      <c r="V10" s="207">
        <f>SUM(I10:L10)-M10+SUM(N10:U10)</f>
        <v>177780803</v>
      </c>
      <c r="W10" s="25">
        <v>0</v>
      </c>
      <c r="X10" s="207">
        <f>W10+V10</f>
        <v>177780803</v>
      </c>
      <c r="AB10" s="139"/>
      <c r="AC10" s="139"/>
      <c r="AD10" s="139"/>
      <c r="AE10" s="139"/>
    </row>
    <row r="11" spans="1:31" s="3" customFormat="1" ht="13.5" customHeight="1">
      <c r="A11" s="463" t="s">
        <v>1462</v>
      </c>
      <c r="B11" s="463"/>
      <c r="C11" s="463"/>
      <c r="D11" s="463"/>
      <c r="E11" s="463"/>
      <c r="F11" s="463"/>
      <c r="G11" s="204">
        <v>2</v>
      </c>
      <c r="H11" s="132"/>
      <c r="I11" s="25">
        <v>0</v>
      </c>
      <c r="J11" s="25">
        <v>0</v>
      </c>
      <c r="K11" s="25">
        <v>0</v>
      </c>
      <c r="L11" s="25">
        <v>0</v>
      </c>
      <c r="M11" s="25">
        <v>0</v>
      </c>
      <c r="N11" s="25">
        <v>0</v>
      </c>
      <c r="O11" s="25">
        <v>0</v>
      </c>
      <c r="P11" s="25">
        <v>0</v>
      </c>
      <c r="Q11" s="25">
        <v>0</v>
      </c>
      <c r="R11" s="25">
        <v>0</v>
      </c>
      <c r="S11" s="25">
        <v>0</v>
      </c>
      <c r="T11" s="25">
        <v>0</v>
      </c>
      <c r="U11" s="25">
        <v>0</v>
      </c>
      <c r="V11" s="207">
        <f aca="true" t="shared" si="0" ref="V11:V32">SUM(I11:L11)-M11+SUM(N11:U11)</f>
        <v>0</v>
      </c>
      <c r="W11" s="25">
        <v>0</v>
      </c>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v>0</v>
      </c>
      <c r="J12" s="25">
        <v>0</v>
      </c>
      <c r="K12" s="25">
        <v>0</v>
      </c>
      <c r="L12" s="25">
        <v>0</v>
      </c>
      <c r="M12" s="25">
        <v>0</v>
      </c>
      <c r="N12" s="25">
        <v>0</v>
      </c>
      <c r="O12" s="25">
        <v>0</v>
      </c>
      <c r="P12" s="25">
        <v>0</v>
      </c>
      <c r="Q12" s="25">
        <v>0</v>
      </c>
      <c r="R12" s="25">
        <v>0</v>
      </c>
      <c r="S12" s="25">
        <v>0</v>
      </c>
      <c r="T12" s="25">
        <v>0</v>
      </c>
      <c r="U12" s="25">
        <v>0</v>
      </c>
      <c r="V12" s="207">
        <f t="shared" si="0"/>
        <v>0</v>
      </c>
      <c r="W12" s="25">
        <v>0</v>
      </c>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157743374</v>
      </c>
      <c r="J13" s="207">
        <f aca="true" t="shared" si="2" ref="J13:U13">SUM(J10:J12)</f>
        <v>0</v>
      </c>
      <c r="K13" s="207">
        <f t="shared" si="2"/>
        <v>0</v>
      </c>
      <c r="L13" s="207">
        <f t="shared" si="2"/>
        <v>0</v>
      </c>
      <c r="M13" s="207">
        <f t="shared" si="2"/>
        <v>11164</v>
      </c>
      <c r="N13" s="207">
        <f t="shared" si="2"/>
        <v>0</v>
      </c>
      <c r="O13" s="207">
        <f t="shared" si="2"/>
        <v>0</v>
      </c>
      <c r="P13" s="207">
        <f t="shared" si="2"/>
        <v>147995627</v>
      </c>
      <c r="Q13" s="207">
        <f t="shared" si="2"/>
        <v>0</v>
      </c>
      <c r="R13" s="207">
        <f t="shared" si="2"/>
        <v>0</v>
      </c>
      <c r="S13" s="207">
        <f t="shared" si="2"/>
        <v>0</v>
      </c>
      <c r="T13" s="207">
        <f t="shared" si="2"/>
        <v>-127822134</v>
      </c>
      <c r="U13" s="207">
        <f t="shared" si="2"/>
        <v>-124900</v>
      </c>
      <c r="V13" s="207">
        <f t="shared" si="0"/>
        <v>177780803</v>
      </c>
      <c r="W13" s="207">
        <f>SUM(W10:W12)</f>
        <v>0</v>
      </c>
      <c r="X13" s="207">
        <f t="shared" si="1"/>
        <v>177780803</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124900</v>
      </c>
      <c r="V14" s="207">
        <f t="shared" si="0"/>
        <v>124900</v>
      </c>
      <c r="W14" s="25">
        <v>0</v>
      </c>
      <c r="X14" s="207">
        <f t="shared" si="1"/>
        <v>124900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v>0</v>
      </c>
      <c r="P15" s="217"/>
      <c r="Q15" s="217"/>
      <c r="R15" s="217"/>
      <c r="S15" s="217"/>
      <c r="T15" s="217"/>
      <c r="U15" s="217"/>
      <c r="V15" s="207">
        <f t="shared" si="0"/>
        <v>0</v>
      </c>
      <c r="W15" s="25">
        <v>0</v>
      </c>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v>-619035</v>
      </c>
      <c r="Q16" s="217"/>
      <c r="R16" s="217"/>
      <c r="S16" s="217"/>
      <c r="T16" s="25">
        <v>0</v>
      </c>
      <c r="U16" s="25">
        <v>0</v>
      </c>
      <c r="V16" s="207">
        <f t="shared" si="0"/>
        <v>-619035</v>
      </c>
      <c r="W16" s="25">
        <v>0</v>
      </c>
      <c r="X16" s="207">
        <f t="shared" si="1"/>
        <v>-619035</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v>0</v>
      </c>
      <c r="R17" s="217"/>
      <c r="S17" s="217"/>
      <c r="T17" s="25">
        <v>-124990</v>
      </c>
      <c r="U17" s="25">
        <v>0</v>
      </c>
      <c r="V17" s="207">
        <f t="shared" si="0"/>
        <v>-124990</v>
      </c>
      <c r="W17" s="25">
        <v>0</v>
      </c>
      <c r="X17" s="207">
        <f t="shared" si="1"/>
        <v>-124990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v>0</v>
      </c>
      <c r="S18" s="217"/>
      <c r="T18" s="25">
        <v>619035</v>
      </c>
      <c r="U18" s="25">
        <v>-2436862</v>
      </c>
      <c r="V18" s="207">
        <f t="shared" si="0"/>
        <v>-1817827</v>
      </c>
      <c r="W18" s="25">
        <v>0</v>
      </c>
      <c r="X18" s="207">
        <f t="shared" si="1"/>
        <v>-1817827</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v>0</v>
      </c>
      <c r="T19" s="25">
        <v>0</v>
      </c>
      <c r="U19" s="25">
        <v>0</v>
      </c>
      <c r="V19" s="207">
        <f t="shared" si="0"/>
        <v>0</v>
      </c>
      <c r="W19" s="25">
        <v>0</v>
      </c>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v>0</v>
      </c>
      <c r="P20" s="25">
        <v>0</v>
      </c>
      <c r="Q20" s="25">
        <v>0</v>
      </c>
      <c r="R20" s="25">
        <v>0</v>
      </c>
      <c r="S20" s="25">
        <v>0</v>
      </c>
      <c r="T20" s="25">
        <v>0</v>
      </c>
      <c r="U20" s="25">
        <v>0</v>
      </c>
      <c r="V20" s="207">
        <f t="shared" si="0"/>
        <v>0</v>
      </c>
      <c r="W20" s="25">
        <v>0</v>
      </c>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v>0</v>
      </c>
      <c r="P21" s="25">
        <v>0</v>
      </c>
      <c r="Q21" s="25">
        <v>0</v>
      </c>
      <c r="R21" s="25">
        <v>0</v>
      </c>
      <c r="S21" s="25">
        <v>0</v>
      </c>
      <c r="T21" s="25">
        <v>0</v>
      </c>
      <c r="U21" s="25">
        <v>0</v>
      </c>
      <c r="V21" s="207">
        <f t="shared" si="0"/>
        <v>0</v>
      </c>
      <c r="W21" s="25">
        <v>0</v>
      </c>
      <c r="X21" s="207">
        <f t="shared" si="1"/>
        <v>0</v>
      </c>
      <c r="AB21" s="141"/>
      <c r="AC21" s="141"/>
      <c r="AD21" s="141"/>
      <c r="AE21" s="139"/>
    </row>
    <row r="22" spans="1:29" s="3" customFormat="1" ht="13.5" customHeight="1">
      <c r="A22" s="463" t="s">
        <v>826</v>
      </c>
      <c r="B22" s="463"/>
      <c r="C22" s="463"/>
      <c r="D22" s="463"/>
      <c r="E22" s="463"/>
      <c r="F22" s="463"/>
      <c r="G22" s="204">
        <v>13</v>
      </c>
      <c r="H22" s="132"/>
      <c r="I22" s="25">
        <v>0</v>
      </c>
      <c r="J22" s="25">
        <v>0</v>
      </c>
      <c r="K22" s="25">
        <v>0</v>
      </c>
      <c r="L22" s="25">
        <v>0</v>
      </c>
      <c r="M22" s="25">
        <v>0</v>
      </c>
      <c r="N22" s="25">
        <v>0</v>
      </c>
      <c r="O22" s="25">
        <v>0</v>
      </c>
      <c r="P22" s="25">
        <v>0</v>
      </c>
      <c r="Q22" s="25">
        <v>0</v>
      </c>
      <c r="R22" s="25">
        <v>0</v>
      </c>
      <c r="S22" s="25">
        <v>0</v>
      </c>
      <c r="T22" s="25">
        <v>0</v>
      </c>
      <c r="U22" s="25">
        <v>0</v>
      </c>
      <c r="V22" s="207">
        <f t="shared" si="0"/>
        <v>0</v>
      </c>
      <c r="W22" s="25">
        <v>0</v>
      </c>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v>0</v>
      </c>
      <c r="P23" s="25">
        <v>0</v>
      </c>
      <c r="Q23" s="25">
        <v>0</v>
      </c>
      <c r="R23" s="25">
        <v>0</v>
      </c>
      <c r="S23" s="25">
        <v>0</v>
      </c>
      <c r="T23" s="25">
        <v>0</v>
      </c>
      <c r="U23" s="25">
        <v>0</v>
      </c>
      <c r="V23" s="207">
        <f t="shared" si="0"/>
        <v>0</v>
      </c>
      <c r="W23" s="25">
        <v>0</v>
      </c>
      <c r="X23" s="207">
        <f t="shared" si="1"/>
        <v>0</v>
      </c>
      <c r="AB23" s="139"/>
      <c r="AC23" s="134"/>
    </row>
    <row r="24" spans="1:29" s="3" customFormat="1" ht="24.75" customHeight="1">
      <c r="A24" s="463" t="s">
        <v>828</v>
      </c>
      <c r="B24" s="463"/>
      <c r="C24" s="463"/>
      <c r="D24" s="463"/>
      <c r="E24" s="463"/>
      <c r="F24" s="463"/>
      <c r="G24" s="204">
        <v>15</v>
      </c>
      <c r="H24" s="132"/>
      <c r="I24" s="25">
        <v>0</v>
      </c>
      <c r="J24" s="25">
        <v>0</v>
      </c>
      <c r="K24" s="25">
        <v>0</v>
      </c>
      <c r="L24" s="25">
        <v>0</v>
      </c>
      <c r="M24" s="25">
        <v>0</v>
      </c>
      <c r="N24" s="25">
        <v>0</v>
      </c>
      <c r="O24" s="25">
        <v>0</v>
      </c>
      <c r="P24" s="25">
        <v>0</v>
      </c>
      <c r="Q24" s="25">
        <v>0</v>
      </c>
      <c r="R24" s="25">
        <v>0</v>
      </c>
      <c r="S24" s="25">
        <v>0</v>
      </c>
      <c r="T24" s="25">
        <v>0</v>
      </c>
      <c r="U24" s="25">
        <v>0</v>
      </c>
      <c r="V24" s="207">
        <f t="shared" si="0"/>
        <v>0</v>
      </c>
      <c r="W24" s="25">
        <v>0</v>
      </c>
      <c r="X24" s="207">
        <f t="shared" si="1"/>
        <v>0</v>
      </c>
      <c r="AB24" s="139"/>
      <c r="AC24" s="134"/>
    </row>
    <row r="25" spans="1:29" s="3" customFormat="1" ht="24.75" customHeight="1">
      <c r="A25" s="463" t="s">
        <v>829</v>
      </c>
      <c r="B25" s="463"/>
      <c r="C25" s="463"/>
      <c r="D25" s="463"/>
      <c r="E25" s="463"/>
      <c r="F25" s="463"/>
      <c r="G25" s="204">
        <v>16</v>
      </c>
      <c r="H25" s="132"/>
      <c r="I25" s="25">
        <v>0</v>
      </c>
      <c r="J25" s="25">
        <v>0</v>
      </c>
      <c r="K25" s="25">
        <v>0</v>
      </c>
      <c r="L25" s="25">
        <v>0</v>
      </c>
      <c r="M25" s="25">
        <v>0</v>
      </c>
      <c r="N25" s="25">
        <v>0</v>
      </c>
      <c r="O25" s="25">
        <v>0</v>
      </c>
      <c r="P25" s="25">
        <v>0</v>
      </c>
      <c r="Q25" s="25">
        <v>0</v>
      </c>
      <c r="R25" s="25">
        <v>0</v>
      </c>
      <c r="S25" s="25">
        <v>0</v>
      </c>
      <c r="T25" s="25">
        <v>0</v>
      </c>
      <c r="U25" s="25">
        <v>0</v>
      </c>
      <c r="V25" s="207">
        <f t="shared" si="0"/>
        <v>0</v>
      </c>
      <c r="W25" s="25">
        <v>0</v>
      </c>
      <c r="X25" s="207">
        <f t="shared" si="1"/>
        <v>0</v>
      </c>
      <c r="AB25" s="139"/>
      <c r="AC25" s="134"/>
    </row>
    <row r="26" spans="1:29" s="3" customFormat="1" ht="24.75" customHeight="1">
      <c r="A26" s="463" t="s">
        <v>830</v>
      </c>
      <c r="B26" s="463"/>
      <c r="C26" s="463"/>
      <c r="D26" s="463"/>
      <c r="E26" s="463"/>
      <c r="F26" s="463"/>
      <c r="G26" s="204">
        <v>17</v>
      </c>
      <c r="H26" s="132"/>
      <c r="I26" s="25">
        <v>0</v>
      </c>
      <c r="J26" s="25">
        <v>0</v>
      </c>
      <c r="K26" s="25">
        <v>0</v>
      </c>
      <c r="L26" s="25">
        <v>0</v>
      </c>
      <c r="M26" s="25">
        <v>0</v>
      </c>
      <c r="N26" s="25">
        <v>0</v>
      </c>
      <c r="O26" s="25">
        <v>0</v>
      </c>
      <c r="P26" s="25">
        <v>0</v>
      </c>
      <c r="Q26" s="25">
        <v>0</v>
      </c>
      <c r="R26" s="25">
        <v>0</v>
      </c>
      <c r="S26" s="25">
        <v>0</v>
      </c>
      <c r="T26" s="25">
        <v>0</v>
      </c>
      <c r="U26" s="25">
        <v>0</v>
      </c>
      <c r="V26" s="207">
        <f t="shared" si="0"/>
        <v>0</v>
      </c>
      <c r="W26" s="25">
        <v>0</v>
      </c>
      <c r="X26" s="207">
        <f t="shared" si="1"/>
        <v>0</v>
      </c>
      <c r="AB26" s="139"/>
      <c r="AC26" s="134"/>
    </row>
    <row r="27" spans="1:28" ht="13.5" customHeight="1">
      <c r="A27" s="463" t="s">
        <v>831</v>
      </c>
      <c r="B27" s="463"/>
      <c r="C27" s="463"/>
      <c r="D27" s="463"/>
      <c r="E27" s="463"/>
      <c r="F27" s="463"/>
      <c r="G27" s="204">
        <v>18</v>
      </c>
      <c r="H27" s="132"/>
      <c r="I27" s="25">
        <v>0</v>
      </c>
      <c r="J27" s="25">
        <v>0</v>
      </c>
      <c r="K27" s="25">
        <v>0</v>
      </c>
      <c r="L27" s="25">
        <v>0</v>
      </c>
      <c r="M27" s="25">
        <v>0</v>
      </c>
      <c r="N27" s="25">
        <v>0</v>
      </c>
      <c r="O27" s="25">
        <v>0</v>
      </c>
      <c r="P27" s="25">
        <v>0</v>
      </c>
      <c r="Q27" s="25">
        <v>0</v>
      </c>
      <c r="R27" s="25">
        <v>0</v>
      </c>
      <c r="S27" s="25">
        <v>0</v>
      </c>
      <c r="T27" s="25">
        <v>0</v>
      </c>
      <c r="U27" s="25">
        <v>0</v>
      </c>
      <c r="V27" s="207">
        <f t="shared" si="0"/>
        <v>0</v>
      </c>
      <c r="W27" s="25">
        <v>0</v>
      </c>
      <c r="X27" s="207">
        <f t="shared" si="1"/>
        <v>0</v>
      </c>
      <c r="AB27" s="139"/>
    </row>
    <row r="28" spans="1:28" ht="13.5" customHeight="1">
      <c r="A28" s="463" t="s">
        <v>832</v>
      </c>
      <c r="B28" s="463"/>
      <c r="C28" s="463"/>
      <c r="D28" s="463"/>
      <c r="E28" s="463"/>
      <c r="F28" s="463"/>
      <c r="G28" s="204">
        <v>19</v>
      </c>
      <c r="H28" s="132"/>
      <c r="I28" s="25">
        <v>0</v>
      </c>
      <c r="J28" s="25">
        <v>0</v>
      </c>
      <c r="K28" s="25">
        <v>0</v>
      </c>
      <c r="L28" s="25">
        <v>0</v>
      </c>
      <c r="M28" s="25">
        <v>0</v>
      </c>
      <c r="N28" s="25">
        <v>0</v>
      </c>
      <c r="O28" s="25">
        <v>0</v>
      </c>
      <c r="P28" s="25">
        <v>0</v>
      </c>
      <c r="Q28" s="25">
        <v>0</v>
      </c>
      <c r="R28" s="25">
        <v>0</v>
      </c>
      <c r="S28" s="25">
        <v>0</v>
      </c>
      <c r="T28" s="25">
        <v>0</v>
      </c>
      <c r="U28" s="25">
        <v>0</v>
      </c>
      <c r="V28" s="207">
        <f t="shared" si="0"/>
        <v>0</v>
      </c>
      <c r="W28" s="25">
        <v>0</v>
      </c>
      <c r="X28" s="207">
        <f t="shared" si="1"/>
        <v>0</v>
      </c>
      <c r="AB28" s="139"/>
    </row>
    <row r="29" spans="1:28" ht="13.5" customHeight="1">
      <c r="A29" s="463" t="s">
        <v>833</v>
      </c>
      <c r="B29" s="463"/>
      <c r="C29" s="463"/>
      <c r="D29" s="463"/>
      <c r="E29" s="463"/>
      <c r="F29" s="463"/>
      <c r="G29" s="204">
        <v>20</v>
      </c>
      <c r="H29" s="132"/>
      <c r="I29" s="25">
        <v>0</v>
      </c>
      <c r="J29" s="25">
        <v>0</v>
      </c>
      <c r="K29" s="25">
        <v>0</v>
      </c>
      <c r="L29" s="25">
        <v>0</v>
      </c>
      <c r="M29" s="25">
        <v>0</v>
      </c>
      <c r="N29" s="25">
        <v>0</v>
      </c>
      <c r="O29" s="25">
        <v>0</v>
      </c>
      <c r="P29" s="25">
        <v>0</v>
      </c>
      <c r="Q29" s="25">
        <v>0</v>
      </c>
      <c r="R29" s="25">
        <v>0</v>
      </c>
      <c r="S29" s="25">
        <v>0</v>
      </c>
      <c r="T29" s="25">
        <v>0</v>
      </c>
      <c r="U29" s="25">
        <v>0</v>
      </c>
      <c r="V29" s="207">
        <f t="shared" si="0"/>
        <v>0</v>
      </c>
      <c r="W29" s="25">
        <v>0</v>
      </c>
      <c r="X29" s="207">
        <f t="shared" si="1"/>
        <v>0</v>
      </c>
      <c r="AB29" s="139"/>
    </row>
    <row r="30" spans="1:28" ht="13.5" customHeight="1">
      <c r="A30" s="463" t="s">
        <v>834</v>
      </c>
      <c r="B30" s="463"/>
      <c r="C30" s="463"/>
      <c r="D30" s="463"/>
      <c r="E30" s="463"/>
      <c r="F30" s="463"/>
      <c r="G30" s="204">
        <v>21</v>
      </c>
      <c r="H30" s="132"/>
      <c r="I30" s="25">
        <v>0</v>
      </c>
      <c r="J30" s="25">
        <v>0</v>
      </c>
      <c r="K30" s="25">
        <v>0</v>
      </c>
      <c r="L30" s="25">
        <v>0</v>
      </c>
      <c r="M30" s="25">
        <v>0</v>
      </c>
      <c r="N30" s="25">
        <v>0</v>
      </c>
      <c r="O30" s="25">
        <v>0</v>
      </c>
      <c r="P30" s="25">
        <v>0</v>
      </c>
      <c r="Q30" s="25">
        <v>0</v>
      </c>
      <c r="R30" s="25">
        <v>0</v>
      </c>
      <c r="S30" s="25">
        <v>0</v>
      </c>
      <c r="T30" s="25">
        <v>0</v>
      </c>
      <c r="U30" s="25">
        <v>0</v>
      </c>
      <c r="V30" s="207">
        <f t="shared" si="0"/>
        <v>0</v>
      </c>
      <c r="W30" s="25">
        <v>0</v>
      </c>
      <c r="X30" s="207">
        <f t="shared" si="1"/>
        <v>0</v>
      </c>
      <c r="AB30" s="139"/>
    </row>
    <row r="31" spans="1:31" ht="13.5" customHeight="1">
      <c r="A31" s="463" t="s">
        <v>835</v>
      </c>
      <c r="B31" s="463"/>
      <c r="C31" s="463"/>
      <c r="D31" s="463"/>
      <c r="E31" s="463"/>
      <c r="F31" s="463"/>
      <c r="G31" s="204">
        <v>22</v>
      </c>
      <c r="H31" s="132"/>
      <c r="I31" s="25">
        <v>0</v>
      </c>
      <c r="J31" s="25">
        <v>0</v>
      </c>
      <c r="K31" s="25">
        <v>0</v>
      </c>
      <c r="L31" s="25">
        <v>0</v>
      </c>
      <c r="M31" s="25">
        <v>0</v>
      </c>
      <c r="N31" s="25">
        <v>0</v>
      </c>
      <c r="O31" s="25">
        <v>0</v>
      </c>
      <c r="P31" s="25">
        <v>0</v>
      </c>
      <c r="Q31" s="25">
        <v>0</v>
      </c>
      <c r="R31" s="25">
        <v>0</v>
      </c>
      <c r="S31" s="25">
        <v>0</v>
      </c>
      <c r="T31" s="25">
        <v>0</v>
      </c>
      <c r="U31" s="25">
        <v>0</v>
      </c>
      <c r="V31" s="207">
        <f t="shared" si="0"/>
        <v>0</v>
      </c>
      <c r="W31" s="25">
        <v>0</v>
      </c>
      <c r="X31" s="207">
        <f t="shared" si="1"/>
        <v>0</v>
      </c>
      <c r="AE31" s="139"/>
    </row>
    <row r="32" spans="1:31" ht="15" customHeight="1">
      <c r="A32" s="478" t="s">
        <v>2561</v>
      </c>
      <c r="B32" s="478"/>
      <c r="C32" s="478"/>
      <c r="D32" s="478"/>
      <c r="E32" s="478"/>
      <c r="F32" s="478"/>
      <c r="G32" s="205">
        <v>23</v>
      </c>
      <c r="H32" s="133"/>
      <c r="I32" s="206">
        <f>SUM(I13:I31)</f>
        <v>157743374</v>
      </c>
      <c r="J32" s="206">
        <f aca="true" t="shared" si="3" ref="J32:U32">SUM(J13:J31)</f>
        <v>0</v>
      </c>
      <c r="K32" s="206">
        <f t="shared" si="3"/>
        <v>0</v>
      </c>
      <c r="L32" s="206">
        <f t="shared" si="3"/>
        <v>0</v>
      </c>
      <c r="M32" s="206">
        <f t="shared" si="3"/>
        <v>11164</v>
      </c>
      <c r="N32" s="206">
        <f t="shared" si="3"/>
        <v>0</v>
      </c>
      <c r="O32" s="206">
        <f t="shared" si="3"/>
        <v>0</v>
      </c>
      <c r="P32" s="206">
        <f t="shared" si="3"/>
        <v>147376592</v>
      </c>
      <c r="Q32" s="206">
        <f t="shared" si="3"/>
        <v>0</v>
      </c>
      <c r="R32" s="206">
        <f t="shared" si="3"/>
        <v>0</v>
      </c>
      <c r="S32" s="206">
        <f t="shared" si="3"/>
        <v>0</v>
      </c>
      <c r="T32" s="206">
        <f t="shared" si="3"/>
        <v>-127328089</v>
      </c>
      <c r="U32" s="206">
        <f t="shared" si="3"/>
        <v>-2436862</v>
      </c>
      <c r="V32" s="206">
        <f t="shared" si="0"/>
        <v>175343851</v>
      </c>
      <c r="W32" s="206">
        <f>SUM(W13:W31)</f>
        <v>0</v>
      </c>
      <c r="X32" s="206">
        <f t="shared" si="1"/>
        <v>175343851</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2557</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-619035</v>
      </c>
      <c r="Q34" s="207">
        <f t="shared" si="5"/>
        <v>0</v>
      </c>
      <c r="R34" s="207">
        <f t="shared" si="5"/>
        <v>0</v>
      </c>
      <c r="S34" s="207">
        <f t="shared" si="5"/>
        <v>0</v>
      </c>
      <c r="T34" s="207">
        <f t="shared" si="5"/>
        <v>494045</v>
      </c>
      <c r="U34" s="207">
        <f t="shared" si="5"/>
        <v>-2436862</v>
      </c>
      <c r="V34" s="207">
        <f t="shared" si="5"/>
        <v>-2561852</v>
      </c>
      <c r="W34" s="207">
        <f t="shared" si="5"/>
        <v>0</v>
      </c>
      <c r="X34" s="207">
        <f t="shared" si="5"/>
        <v>-2561852</v>
      </c>
    </row>
    <row r="35" spans="1:29" s="3" customFormat="1" ht="25.5" customHeight="1">
      <c r="A35" s="484" t="s">
        <v>2558</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-619035</v>
      </c>
      <c r="Q35" s="207">
        <f t="shared" si="7"/>
        <v>0</v>
      </c>
      <c r="R35" s="207">
        <f t="shared" si="7"/>
        <v>0</v>
      </c>
      <c r="S35" s="207">
        <f t="shared" si="7"/>
        <v>0</v>
      </c>
      <c r="T35" s="207">
        <f t="shared" si="7"/>
        <v>494045</v>
      </c>
      <c r="U35" s="207">
        <f t="shared" si="7"/>
        <v>-2311962</v>
      </c>
      <c r="V35" s="207">
        <f t="shared" si="7"/>
        <v>-2436952</v>
      </c>
      <c r="W35" s="207">
        <f t="shared" si="7"/>
        <v>0</v>
      </c>
      <c r="X35" s="207">
        <f t="shared" si="7"/>
        <v>-2436952</v>
      </c>
      <c r="AB35" s="139"/>
      <c r="AC35" s="134"/>
    </row>
    <row r="36" spans="1:29" s="3" customFormat="1" ht="25.5" customHeight="1">
      <c r="A36" s="485" t="s">
        <v>2562</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157743374</v>
      </c>
      <c r="J38" s="25">
        <v>0</v>
      </c>
      <c r="K38" s="25">
        <v>0</v>
      </c>
      <c r="L38" s="25">
        <v>0</v>
      </c>
      <c r="M38" s="25">
        <v>11164</v>
      </c>
      <c r="N38" s="25">
        <v>0</v>
      </c>
      <c r="O38" s="25">
        <v>0</v>
      </c>
      <c r="P38" s="25">
        <v>147376592</v>
      </c>
      <c r="Q38" s="25">
        <v>0</v>
      </c>
      <c r="R38" s="25">
        <v>0</v>
      </c>
      <c r="S38" s="25">
        <v>0</v>
      </c>
      <c r="T38" s="25">
        <v>-127328089</v>
      </c>
      <c r="U38" s="25">
        <v>-2436862</v>
      </c>
      <c r="V38" s="207">
        <f aca="true" t="shared" si="10" ref="V38:V60">SUM(I38:L38)-M38+SUM(N38:U38)</f>
        <v>175343851</v>
      </c>
      <c r="W38" s="25">
        <v>0</v>
      </c>
      <c r="X38" s="207">
        <f t="shared" si="1"/>
        <v>175343851</v>
      </c>
      <c r="AB38" s="139"/>
    </row>
    <row r="39" spans="1:28" ht="13.5" customHeight="1">
      <c r="A39" s="463" t="s">
        <v>1462</v>
      </c>
      <c r="B39" s="463"/>
      <c r="C39" s="463"/>
      <c r="D39" s="463"/>
      <c r="E39" s="463"/>
      <c r="F39" s="463"/>
      <c r="G39" s="204">
        <v>28</v>
      </c>
      <c r="H39" s="132"/>
      <c r="I39" s="25">
        <v>0</v>
      </c>
      <c r="J39" s="25">
        <v>0</v>
      </c>
      <c r="K39" s="25">
        <v>0</v>
      </c>
      <c r="L39" s="25">
        <v>0</v>
      </c>
      <c r="M39" s="25">
        <v>0</v>
      </c>
      <c r="N39" s="25">
        <v>0</v>
      </c>
      <c r="O39" s="25">
        <v>0</v>
      </c>
      <c r="P39" s="25">
        <v>0</v>
      </c>
      <c r="Q39" s="25">
        <v>0</v>
      </c>
      <c r="R39" s="25">
        <v>0</v>
      </c>
      <c r="S39" s="25">
        <v>0</v>
      </c>
      <c r="T39" s="25">
        <v>0</v>
      </c>
      <c r="U39" s="25">
        <v>0</v>
      </c>
      <c r="V39" s="207">
        <f t="shared" si="10"/>
        <v>0</v>
      </c>
      <c r="W39" s="25">
        <v>0</v>
      </c>
      <c r="X39" s="207">
        <f t="shared" si="1"/>
        <v>0</v>
      </c>
      <c r="AB39" s="139"/>
    </row>
    <row r="40" spans="1:28" ht="13.5" customHeight="1">
      <c r="A40" s="463" t="s">
        <v>1463</v>
      </c>
      <c r="B40" s="463"/>
      <c r="C40" s="463"/>
      <c r="D40" s="463"/>
      <c r="E40" s="463"/>
      <c r="F40" s="463"/>
      <c r="G40" s="204">
        <v>29</v>
      </c>
      <c r="H40" s="132"/>
      <c r="I40" s="25">
        <v>0</v>
      </c>
      <c r="J40" s="25">
        <v>0</v>
      </c>
      <c r="K40" s="25">
        <v>0</v>
      </c>
      <c r="L40" s="25">
        <v>0</v>
      </c>
      <c r="M40" s="25">
        <v>0</v>
      </c>
      <c r="N40" s="25">
        <v>0</v>
      </c>
      <c r="O40" s="25">
        <v>0</v>
      </c>
      <c r="P40" s="25">
        <v>0</v>
      </c>
      <c r="Q40" s="25">
        <v>0</v>
      </c>
      <c r="R40" s="25">
        <v>0</v>
      </c>
      <c r="S40" s="25">
        <v>0</v>
      </c>
      <c r="T40" s="25">
        <v>0</v>
      </c>
      <c r="U40" s="25">
        <v>0</v>
      </c>
      <c r="V40" s="207">
        <f t="shared" si="10"/>
        <v>0</v>
      </c>
      <c r="W40" s="25">
        <v>0</v>
      </c>
      <c r="X40" s="207">
        <f t="shared" si="1"/>
        <v>0</v>
      </c>
      <c r="AB40" s="139"/>
    </row>
    <row r="41" spans="1:31" ht="13.5" customHeight="1">
      <c r="A41" s="462" t="s">
        <v>837</v>
      </c>
      <c r="B41" s="462"/>
      <c r="C41" s="462"/>
      <c r="D41" s="462"/>
      <c r="E41" s="462"/>
      <c r="F41" s="462"/>
      <c r="G41" s="204">
        <v>30</v>
      </c>
      <c r="H41" s="132"/>
      <c r="I41" s="207">
        <f aca="true" t="shared" si="11" ref="I41:U41">SUM(I38:I40)</f>
        <v>157743374</v>
      </c>
      <c r="J41" s="207">
        <f t="shared" si="11"/>
        <v>0</v>
      </c>
      <c r="K41" s="207">
        <f t="shared" si="11"/>
        <v>0</v>
      </c>
      <c r="L41" s="207">
        <f t="shared" si="11"/>
        <v>0</v>
      </c>
      <c r="M41" s="207">
        <f t="shared" si="11"/>
        <v>11164</v>
      </c>
      <c r="N41" s="207">
        <f t="shared" si="11"/>
        <v>0</v>
      </c>
      <c r="O41" s="207">
        <f t="shared" si="11"/>
        <v>0</v>
      </c>
      <c r="P41" s="207">
        <f t="shared" si="11"/>
        <v>147376592</v>
      </c>
      <c r="Q41" s="207">
        <f t="shared" si="11"/>
        <v>0</v>
      </c>
      <c r="R41" s="207">
        <f t="shared" si="11"/>
        <v>0</v>
      </c>
      <c r="S41" s="207">
        <f t="shared" si="11"/>
        <v>0</v>
      </c>
      <c r="T41" s="207">
        <f t="shared" si="11"/>
        <v>-127328089</v>
      </c>
      <c r="U41" s="207">
        <f t="shared" si="11"/>
        <v>-2436862</v>
      </c>
      <c r="V41" s="207">
        <f t="shared" si="10"/>
        <v>175343851</v>
      </c>
      <c r="W41" s="207">
        <f>SUM(W38:W40)</f>
        <v>0</v>
      </c>
      <c r="X41" s="207">
        <f>W41+V41</f>
        <v>175343851</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-29425656</v>
      </c>
      <c r="V42" s="207">
        <f t="shared" si="10"/>
        <v>-29425656</v>
      </c>
      <c r="W42" s="25">
        <v>0</v>
      </c>
      <c r="X42" s="207">
        <f t="shared" si="1"/>
        <v>-29425656</v>
      </c>
      <c r="AE42" s="139"/>
    </row>
    <row r="43" spans="1:24" ht="13.5" customHeight="1">
      <c r="A43" s="463" t="s">
        <v>1466</v>
      </c>
      <c r="B43" s="463"/>
      <c r="C43" s="463"/>
      <c r="D43" s="463"/>
      <c r="E43" s="463"/>
      <c r="F43" s="463"/>
      <c r="G43" s="204">
        <v>32</v>
      </c>
      <c r="H43" s="132"/>
      <c r="I43" s="217"/>
      <c r="J43" s="217"/>
      <c r="K43" s="217"/>
      <c r="L43" s="217"/>
      <c r="M43" s="217"/>
      <c r="N43" s="217"/>
      <c r="O43" s="25">
        <v>0</v>
      </c>
      <c r="P43" s="217"/>
      <c r="Q43" s="217"/>
      <c r="R43" s="217"/>
      <c r="S43" s="217"/>
      <c r="T43" s="217"/>
      <c r="U43" s="217"/>
      <c r="V43" s="207">
        <f t="shared" si="10"/>
        <v>0</v>
      </c>
      <c r="W43" s="25">
        <v>0</v>
      </c>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v>-137025190</v>
      </c>
      <c r="Q44" s="217"/>
      <c r="R44" s="217"/>
      <c r="S44" s="217"/>
      <c r="T44" s="25">
        <v>738382</v>
      </c>
      <c r="U44" s="25">
        <v>0</v>
      </c>
      <c r="V44" s="207">
        <f t="shared" si="10"/>
        <v>-136286808</v>
      </c>
      <c r="W44" s="25">
        <v>0</v>
      </c>
      <c r="X44" s="207">
        <f t="shared" si="1"/>
        <v>-136286808</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v>0</v>
      </c>
      <c r="R45" s="217"/>
      <c r="S45" s="217"/>
      <c r="T45" s="25">
        <v>0</v>
      </c>
      <c r="U45" s="25">
        <v>0</v>
      </c>
      <c r="V45" s="207">
        <f t="shared" si="10"/>
        <v>0</v>
      </c>
      <c r="W45" s="25">
        <v>0</v>
      </c>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v>0</v>
      </c>
      <c r="S46" s="217"/>
      <c r="T46" s="25">
        <v>0</v>
      </c>
      <c r="U46" s="25">
        <v>0</v>
      </c>
      <c r="V46" s="207">
        <f t="shared" si="10"/>
        <v>0</v>
      </c>
      <c r="W46" s="25">
        <v>0</v>
      </c>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v>0</v>
      </c>
      <c r="T47" s="25">
        <v>0</v>
      </c>
      <c r="U47" s="25">
        <v>0</v>
      </c>
      <c r="V47" s="207">
        <f t="shared" si="10"/>
        <v>0</v>
      </c>
      <c r="W47" s="25">
        <v>0</v>
      </c>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v>0</v>
      </c>
      <c r="P48" s="25">
        <v>0</v>
      </c>
      <c r="Q48" s="25">
        <v>0</v>
      </c>
      <c r="R48" s="25">
        <v>0</v>
      </c>
      <c r="S48" s="25">
        <v>0</v>
      </c>
      <c r="T48" s="25">
        <v>0</v>
      </c>
      <c r="U48" s="25">
        <v>0</v>
      </c>
      <c r="V48" s="207">
        <f t="shared" si="10"/>
        <v>0</v>
      </c>
      <c r="W48" s="25">
        <v>0</v>
      </c>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v>0</v>
      </c>
      <c r="P49" s="25">
        <v>0</v>
      </c>
      <c r="Q49" s="25">
        <v>0</v>
      </c>
      <c r="R49" s="25">
        <v>0</v>
      </c>
      <c r="S49" s="25">
        <v>0</v>
      </c>
      <c r="T49" s="25">
        <v>0</v>
      </c>
      <c r="U49" s="25">
        <v>0</v>
      </c>
      <c r="V49" s="207">
        <f t="shared" si="10"/>
        <v>0</v>
      </c>
      <c r="W49" s="25">
        <v>0</v>
      </c>
      <c r="X49" s="207">
        <f t="shared" si="1"/>
        <v>0</v>
      </c>
      <c r="AB49" s="139"/>
    </row>
    <row r="50" spans="1:28" ht="13.5" customHeight="1">
      <c r="A50" s="463" t="s">
        <v>826</v>
      </c>
      <c r="B50" s="463"/>
      <c r="C50" s="463"/>
      <c r="D50" s="463"/>
      <c r="E50" s="463"/>
      <c r="F50" s="463"/>
      <c r="G50" s="204">
        <v>39</v>
      </c>
      <c r="H50" s="132"/>
      <c r="I50" s="25">
        <v>0</v>
      </c>
      <c r="J50" s="25">
        <v>0</v>
      </c>
      <c r="K50" s="25">
        <v>0</v>
      </c>
      <c r="L50" s="25">
        <v>0</v>
      </c>
      <c r="M50" s="25">
        <v>0</v>
      </c>
      <c r="N50" s="25">
        <v>0</v>
      </c>
      <c r="O50" s="25">
        <v>0</v>
      </c>
      <c r="P50" s="25">
        <v>0</v>
      </c>
      <c r="Q50" s="25">
        <v>0</v>
      </c>
      <c r="R50" s="25">
        <v>0</v>
      </c>
      <c r="S50" s="25">
        <v>0</v>
      </c>
      <c r="T50" s="25">
        <v>0</v>
      </c>
      <c r="U50" s="25">
        <v>0</v>
      </c>
      <c r="V50" s="207">
        <f t="shared" si="10"/>
        <v>0</v>
      </c>
      <c r="W50" s="25">
        <v>0</v>
      </c>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v>0</v>
      </c>
      <c r="P51" s="25">
        <v>0</v>
      </c>
      <c r="Q51" s="25">
        <v>0</v>
      </c>
      <c r="R51" s="25">
        <v>0</v>
      </c>
      <c r="S51" s="25">
        <v>0</v>
      </c>
      <c r="T51" s="25">
        <v>0</v>
      </c>
      <c r="U51" s="25">
        <v>0</v>
      </c>
      <c r="V51" s="207">
        <f t="shared" si="10"/>
        <v>0</v>
      </c>
      <c r="W51" s="25">
        <v>0</v>
      </c>
      <c r="X51" s="207">
        <f t="shared" si="1"/>
        <v>0</v>
      </c>
      <c r="AB51" s="139"/>
    </row>
    <row r="52" spans="1:28" ht="24.75" customHeight="1">
      <c r="A52" s="463" t="s">
        <v>840</v>
      </c>
      <c r="B52" s="463"/>
      <c r="C52" s="463"/>
      <c r="D52" s="463"/>
      <c r="E52" s="463"/>
      <c r="F52" s="463"/>
      <c r="G52" s="204">
        <v>41</v>
      </c>
      <c r="H52" s="132"/>
      <c r="I52" s="25">
        <v>0</v>
      </c>
      <c r="J52" s="25">
        <v>0</v>
      </c>
      <c r="K52" s="25">
        <v>0</v>
      </c>
      <c r="L52" s="25">
        <v>0</v>
      </c>
      <c r="M52" s="25">
        <v>0</v>
      </c>
      <c r="N52" s="25">
        <v>0</v>
      </c>
      <c r="O52" s="25">
        <v>0</v>
      </c>
      <c r="P52" s="25">
        <v>0</v>
      </c>
      <c r="Q52" s="25">
        <v>0</v>
      </c>
      <c r="R52" s="25">
        <v>0</v>
      </c>
      <c r="S52" s="25">
        <v>0</v>
      </c>
      <c r="T52" s="25">
        <v>0</v>
      </c>
      <c r="U52" s="25">
        <v>0</v>
      </c>
      <c r="V52" s="207">
        <f t="shared" si="10"/>
        <v>0</v>
      </c>
      <c r="W52" s="25">
        <v>0</v>
      </c>
      <c r="X52" s="207">
        <f t="shared" si="1"/>
        <v>0</v>
      </c>
      <c r="AB52" s="139"/>
    </row>
    <row r="53" spans="1:31" ht="24.75" customHeight="1">
      <c r="A53" s="463" t="s">
        <v>829</v>
      </c>
      <c r="B53" s="463"/>
      <c r="C53" s="463"/>
      <c r="D53" s="463"/>
      <c r="E53" s="463"/>
      <c r="F53" s="463"/>
      <c r="G53" s="204">
        <v>42</v>
      </c>
      <c r="H53" s="132"/>
      <c r="I53" s="25">
        <v>0</v>
      </c>
      <c r="J53" s="25">
        <v>0</v>
      </c>
      <c r="K53" s="25">
        <v>0</v>
      </c>
      <c r="L53" s="25">
        <v>0</v>
      </c>
      <c r="M53" s="25">
        <v>0</v>
      </c>
      <c r="N53" s="25">
        <v>0</v>
      </c>
      <c r="O53" s="25">
        <v>0</v>
      </c>
      <c r="P53" s="25">
        <v>0</v>
      </c>
      <c r="Q53" s="25">
        <v>0</v>
      </c>
      <c r="R53" s="25">
        <v>0</v>
      </c>
      <c r="S53" s="25">
        <v>0</v>
      </c>
      <c r="T53" s="25">
        <v>0</v>
      </c>
      <c r="U53" s="25">
        <v>0</v>
      </c>
      <c r="V53" s="207">
        <f t="shared" si="10"/>
        <v>0</v>
      </c>
      <c r="W53" s="25">
        <v>0</v>
      </c>
      <c r="X53" s="207">
        <f t="shared" si="1"/>
        <v>0</v>
      </c>
      <c r="AE53" s="139"/>
    </row>
    <row r="54" spans="1:31" ht="24.75" customHeight="1">
      <c r="A54" s="463" t="s">
        <v>841</v>
      </c>
      <c r="B54" s="463"/>
      <c r="C54" s="463"/>
      <c r="D54" s="463"/>
      <c r="E54" s="463"/>
      <c r="F54" s="463"/>
      <c r="G54" s="204">
        <v>43</v>
      </c>
      <c r="H54" s="132"/>
      <c r="I54" s="25">
        <v>0</v>
      </c>
      <c r="J54" s="25">
        <v>0</v>
      </c>
      <c r="K54" s="25">
        <v>0</v>
      </c>
      <c r="L54" s="25">
        <v>0</v>
      </c>
      <c r="M54" s="25">
        <v>0</v>
      </c>
      <c r="N54" s="25">
        <v>0</v>
      </c>
      <c r="O54" s="25">
        <v>0</v>
      </c>
      <c r="P54" s="25">
        <v>0</v>
      </c>
      <c r="Q54" s="25">
        <v>0</v>
      </c>
      <c r="R54" s="25">
        <v>0</v>
      </c>
      <c r="S54" s="25">
        <v>0</v>
      </c>
      <c r="T54" s="25">
        <v>0</v>
      </c>
      <c r="U54" s="25">
        <v>0</v>
      </c>
      <c r="V54" s="207">
        <f t="shared" si="10"/>
        <v>0</v>
      </c>
      <c r="W54" s="25">
        <v>0</v>
      </c>
      <c r="X54" s="207">
        <f t="shared" si="1"/>
        <v>0</v>
      </c>
      <c r="AE54" s="139"/>
    </row>
    <row r="55" spans="1:24" ht="13.5" customHeight="1">
      <c r="A55" s="463" t="s">
        <v>831</v>
      </c>
      <c r="B55" s="463"/>
      <c r="C55" s="463"/>
      <c r="D55" s="463"/>
      <c r="E55" s="463"/>
      <c r="F55" s="463"/>
      <c r="G55" s="204">
        <v>44</v>
      </c>
      <c r="H55" s="132"/>
      <c r="I55" s="25">
        <v>0</v>
      </c>
      <c r="J55" s="25">
        <v>0</v>
      </c>
      <c r="K55" s="25">
        <v>0</v>
      </c>
      <c r="L55" s="25">
        <v>0</v>
      </c>
      <c r="M55" s="25">
        <v>0</v>
      </c>
      <c r="N55" s="25">
        <v>0</v>
      </c>
      <c r="O55" s="25">
        <v>0</v>
      </c>
      <c r="P55" s="25">
        <v>0</v>
      </c>
      <c r="Q55" s="25">
        <v>0</v>
      </c>
      <c r="R55" s="25">
        <v>0</v>
      </c>
      <c r="S55" s="25">
        <v>0</v>
      </c>
      <c r="T55" s="25">
        <v>0</v>
      </c>
      <c r="U55" s="25">
        <v>0</v>
      </c>
      <c r="V55" s="207">
        <f t="shared" si="10"/>
        <v>0</v>
      </c>
      <c r="W55" s="25">
        <v>0</v>
      </c>
      <c r="X55" s="207">
        <f t="shared" si="1"/>
        <v>0</v>
      </c>
    </row>
    <row r="56" spans="1:24" ht="13.5" customHeight="1">
      <c r="A56" s="463" t="s">
        <v>832</v>
      </c>
      <c r="B56" s="463"/>
      <c r="C56" s="463"/>
      <c r="D56" s="463"/>
      <c r="E56" s="463"/>
      <c r="F56" s="463"/>
      <c r="G56" s="204">
        <v>45</v>
      </c>
      <c r="H56" s="132"/>
      <c r="I56" s="25">
        <v>0</v>
      </c>
      <c r="J56" s="25">
        <v>0</v>
      </c>
      <c r="K56" s="25">
        <v>0</v>
      </c>
      <c r="L56" s="25">
        <v>0</v>
      </c>
      <c r="M56" s="25">
        <v>0</v>
      </c>
      <c r="N56" s="25">
        <v>0</v>
      </c>
      <c r="O56" s="25">
        <v>0</v>
      </c>
      <c r="P56" s="25">
        <v>0</v>
      </c>
      <c r="Q56" s="25">
        <v>0</v>
      </c>
      <c r="R56" s="25">
        <v>0</v>
      </c>
      <c r="S56" s="25">
        <v>0</v>
      </c>
      <c r="T56" s="25">
        <v>0</v>
      </c>
      <c r="U56" s="25">
        <v>0</v>
      </c>
      <c r="V56" s="207">
        <f t="shared" si="10"/>
        <v>0</v>
      </c>
      <c r="W56" s="25">
        <v>0</v>
      </c>
      <c r="X56" s="207">
        <f t="shared" si="1"/>
        <v>0</v>
      </c>
    </row>
    <row r="57" spans="1:24" ht="13.5" customHeight="1">
      <c r="A57" s="463" t="s">
        <v>833</v>
      </c>
      <c r="B57" s="463"/>
      <c r="C57" s="463"/>
      <c r="D57" s="463"/>
      <c r="E57" s="463"/>
      <c r="F57" s="463"/>
      <c r="G57" s="204">
        <v>46</v>
      </c>
      <c r="H57" s="132"/>
      <c r="I57" s="25">
        <v>0</v>
      </c>
      <c r="J57" s="25">
        <v>0</v>
      </c>
      <c r="K57" s="25">
        <v>0</v>
      </c>
      <c r="L57" s="25">
        <v>0</v>
      </c>
      <c r="M57" s="25">
        <v>0</v>
      </c>
      <c r="N57" s="25">
        <v>0</v>
      </c>
      <c r="O57" s="25">
        <v>0</v>
      </c>
      <c r="P57" s="25">
        <v>0</v>
      </c>
      <c r="Q57" s="25">
        <v>0</v>
      </c>
      <c r="R57" s="25">
        <v>0</v>
      </c>
      <c r="S57" s="25">
        <v>0</v>
      </c>
      <c r="T57" s="25">
        <v>0</v>
      </c>
      <c r="U57" s="25">
        <v>0</v>
      </c>
      <c r="V57" s="207">
        <f t="shared" si="10"/>
        <v>0</v>
      </c>
      <c r="W57" s="25">
        <v>0</v>
      </c>
      <c r="X57" s="207">
        <f t="shared" si="1"/>
        <v>0</v>
      </c>
    </row>
    <row r="58" spans="1:29" s="3" customFormat="1" ht="13.5" customHeight="1">
      <c r="A58" s="463" t="s">
        <v>834</v>
      </c>
      <c r="B58" s="463"/>
      <c r="C58" s="463"/>
      <c r="D58" s="463"/>
      <c r="E58" s="463"/>
      <c r="F58" s="463"/>
      <c r="G58" s="204">
        <v>47</v>
      </c>
      <c r="H58" s="132"/>
      <c r="I58" s="25">
        <v>0</v>
      </c>
      <c r="J58" s="25">
        <v>0</v>
      </c>
      <c r="K58" s="25">
        <v>0</v>
      </c>
      <c r="L58" s="25">
        <v>0</v>
      </c>
      <c r="M58" s="25">
        <v>0</v>
      </c>
      <c r="N58" s="25">
        <v>0</v>
      </c>
      <c r="O58" s="25">
        <v>0</v>
      </c>
      <c r="P58" s="25">
        <v>0</v>
      </c>
      <c r="Q58" s="25">
        <v>0</v>
      </c>
      <c r="R58" s="25">
        <v>0</v>
      </c>
      <c r="S58" s="25">
        <v>0</v>
      </c>
      <c r="T58" s="25">
        <v>-2436862</v>
      </c>
      <c r="U58" s="25">
        <v>2436862</v>
      </c>
      <c r="V58" s="207">
        <f t="shared" si="10"/>
        <v>0</v>
      </c>
      <c r="W58" s="25">
        <v>0</v>
      </c>
      <c r="X58" s="207">
        <f t="shared" si="1"/>
        <v>0</v>
      </c>
      <c r="AB58" s="139"/>
      <c r="AC58" s="134"/>
    </row>
    <row r="59" spans="1:29" s="3" customFormat="1" ht="13.5" customHeight="1">
      <c r="A59" s="463" t="s">
        <v>835</v>
      </c>
      <c r="B59" s="463"/>
      <c r="C59" s="463"/>
      <c r="D59" s="463"/>
      <c r="E59" s="463"/>
      <c r="F59" s="463"/>
      <c r="G59" s="204">
        <v>48</v>
      </c>
      <c r="H59" s="132"/>
      <c r="I59" s="25">
        <v>0</v>
      </c>
      <c r="J59" s="25">
        <v>0</v>
      </c>
      <c r="K59" s="25">
        <v>0</v>
      </c>
      <c r="L59" s="25">
        <v>0</v>
      </c>
      <c r="M59" s="25">
        <v>0</v>
      </c>
      <c r="N59" s="25">
        <v>0</v>
      </c>
      <c r="O59" s="25">
        <v>0</v>
      </c>
      <c r="P59" s="25">
        <v>0</v>
      </c>
      <c r="Q59" s="25">
        <v>0</v>
      </c>
      <c r="R59" s="25">
        <v>0</v>
      </c>
      <c r="S59" s="25">
        <v>0</v>
      </c>
      <c r="T59" s="25">
        <v>0</v>
      </c>
      <c r="U59" s="25">
        <v>0</v>
      </c>
      <c r="V59" s="207">
        <f t="shared" si="10"/>
        <v>0</v>
      </c>
      <c r="W59" s="25">
        <v>0</v>
      </c>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157743374</v>
      </c>
      <c r="J60" s="206">
        <f t="shared" si="12"/>
        <v>0</v>
      </c>
      <c r="K60" s="206">
        <f t="shared" si="12"/>
        <v>0</v>
      </c>
      <c r="L60" s="206">
        <f t="shared" si="12"/>
        <v>0</v>
      </c>
      <c r="M60" s="206">
        <f t="shared" si="12"/>
        <v>11164</v>
      </c>
      <c r="N60" s="206">
        <f t="shared" si="12"/>
        <v>0</v>
      </c>
      <c r="O60" s="206">
        <f t="shared" si="12"/>
        <v>0</v>
      </c>
      <c r="P60" s="206">
        <f t="shared" si="12"/>
        <v>10351402</v>
      </c>
      <c r="Q60" s="206">
        <f t="shared" si="12"/>
        <v>0</v>
      </c>
      <c r="R60" s="206">
        <f t="shared" si="12"/>
        <v>0</v>
      </c>
      <c r="S60" s="206">
        <f t="shared" si="12"/>
        <v>0</v>
      </c>
      <c r="T60" s="206">
        <f t="shared" si="12"/>
        <v>-129026569</v>
      </c>
      <c r="U60" s="206">
        <f t="shared" si="12"/>
        <v>-29425656</v>
      </c>
      <c r="V60" s="206">
        <f t="shared" si="10"/>
        <v>9631387</v>
      </c>
      <c r="W60" s="206">
        <f>SUM(W41:W59)</f>
        <v>0</v>
      </c>
      <c r="X60" s="206">
        <f t="shared" si="1"/>
        <v>9631387</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2559</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-137025190</v>
      </c>
      <c r="Q62" s="207">
        <f t="shared" si="14"/>
        <v>0</v>
      </c>
      <c r="R62" s="207">
        <f t="shared" si="14"/>
        <v>0</v>
      </c>
      <c r="S62" s="207">
        <f t="shared" si="14"/>
        <v>0</v>
      </c>
      <c r="T62" s="207">
        <f t="shared" si="14"/>
        <v>738382</v>
      </c>
      <c r="U62" s="207">
        <f t="shared" si="14"/>
        <v>0</v>
      </c>
      <c r="V62" s="207">
        <f t="shared" si="14"/>
        <v>-136286808</v>
      </c>
      <c r="W62" s="207">
        <f t="shared" si="14"/>
        <v>0</v>
      </c>
      <c r="X62" s="207">
        <f t="shared" si="14"/>
        <v>-136286808</v>
      </c>
      <c r="AB62" s="139"/>
    </row>
    <row r="63" spans="1:28" ht="25.5" customHeight="1">
      <c r="A63" s="484" t="s">
        <v>2243</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-137025190</v>
      </c>
      <c r="Q63" s="207">
        <f t="shared" si="16"/>
        <v>0</v>
      </c>
      <c r="R63" s="207">
        <f t="shared" si="16"/>
        <v>0</v>
      </c>
      <c r="S63" s="207">
        <f t="shared" si="16"/>
        <v>0</v>
      </c>
      <c r="T63" s="207">
        <f t="shared" si="16"/>
        <v>738382</v>
      </c>
      <c r="U63" s="207">
        <f t="shared" si="16"/>
        <v>-29425656</v>
      </c>
      <c r="V63" s="207">
        <f t="shared" si="16"/>
        <v>-165712464</v>
      </c>
      <c r="W63" s="207">
        <f t="shared" si="16"/>
        <v>0</v>
      </c>
      <c r="X63" s="207">
        <f t="shared" si="16"/>
        <v>-165712464</v>
      </c>
      <c r="AB63" s="139"/>
    </row>
    <row r="64" spans="1:28" ht="25.5" customHeight="1">
      <c r="A64" s="485" t="s">
        <v>2560</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-2436862</v>
      </c>
      <c r="U64" s="206">
        <f t="shared" si="18"/>
        <v>2436862</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62:X64 I10:X32 I38:X60">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600" verticalDpi="6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Matija</cp:lastModifiedBy>
  <cp:lastPrinted>2020-06-30T09:29:53Z</cp:lastPrinted>
  <dcterms:created xsi:type="dcterms:W3CDTF">2008-10-17T11:51:54Z</dcterms:created>
  <dcterms:modified xsi:type="dcterms:W3CDTF">2020-06-30T09:29:59Z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