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MarijanaZ\Desktop\2019\FI 2019\4Q 2019\"/>
    </mc:Choice>
  </mc:AlternateContent>
  <xr:revisionPtr revIDLastSave="0" documentId="13_ncr:1_{B5592A7A-7AEA-44E6-B1A3-913D12F114E6}" xr6:coauthVersionLast="45" xr6:coauthVersionMax="45" xr10:uidLastSave="{00000000-0000-0000-0000-000000000000}"/>
  <bookViews>
    <workbookView xWindow="-120" yWindow="-120" windowWidth="29040" windowHeight="1584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6" i="18" l="1"/>
  <c r="K25" i="19" l="1"/>
  <c r="K36" i="19"/>
  <c r="J36" i="19"/>
  <c r="J25" i="19"/>
  <c r="I25" i="19"/>
  <c r="I36" i="19"/>
  <c r="H25" i="19"/>
  <c r="H36" i="19"/>
  <c r="I58" i="18" l="1"/>
  <c r="S35" i="22" l="1"/>
  <c r="I15" i="21" l="1"/>
  <c r="I8" i="21"/>
  <c r="I39" i="21"/>
  <c r="I13" i="21"/>
  <c r="I12" i="21"/>
  <c r="K10" i="19"/>
  <c r="K17" i="19"/>
  <c r="K19" i="19"/>
  <c r="K51" i="19" l="1"/>
  <c r="K47" i="19"/>
  <c r="K46" i="19"/>
  <c r="K44" i="19"/>
  <c r="K28" i="19"/>
  <c r="K24" i="19"/>
  <c r="K23" i="19"/>
  <c r="K22" i="19"/>
  <c r="K21" i="19"/>
  <c r="K18" i="19"/>
  <c r="K13" i="19"/>
  <c r="J19" i="19" l="1"/>
  <c r="J13" i="19"/>
  <c r="J30" i="19"/>
  <c r="J21" i="19"/>
  <c r="J10" i="19"/>
  <c r="I52" i="19"/>
  <c r="I51" i="19"/>
  <c r="I45" i="19"/>
  <c r="I44" i="19"/>
  <c r="I47" i="19"/>
  <c r="I46" i="19"/>
  <c r="I125" i="18" l="1"/>
  <c r="I97" i="18"/>
  <c r="I109" i="18"/>
  <c r="I59" i="18"/>
  <c r="I46" i="18"/>
  <c r="I21" i="18"/>
  <c r="I20" i="18"/>
  <c r="I19" i="18"/>
  <c r="H19" i="18"/>
  <c r="H20" i="18"/>
  <c r="H46" i="18"/>
  <c r="I78" i="18" l="1"/>
  <c r="H78" i="18"/>
  <c r="H46" i="21" l="1"/>
  <c r="H40" i="21"/>
  <c r="H47" i="21" s="1"/>
  <c r="H33" i="21"/>
  <c r="H34" i="21" s="1"/>
  <c r="H27" i="21"/>
  <c r="H16" i="21"/>
  <c r="H19" i="21" s="1"/>
  <c r="H54" i="20"/>
  <c r="H48" i="20"/>
  <c r="H55" i="20" s="1"/>
  <c r="H41" i="20"/>
  <c r="H42" i="20" s="1"/>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I60" i="19"/>
  <c r="H131" i="18"/>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55" i="20" s="1"/>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H61" i="19" l="1"/>
  <c r="I44" i="18"/>
  <c r="W61" i="22"/>
  <c r="I47" i="21"/>
  <c r="I49" i="21"/>
  <c r="I51" i="21" s="1"/>
  <c r="K60" i="19"/>
  <c r="K14" i="19"/>
  <c r="K61" i="19" s="1"/>
  <c r="I14" i="19"/>
  <c r="I61" i="19" s="1"/>
  <c r="I63" i="19" s="1"/>
  <c r="I75" i="18"/>
  <c r="I131" i="18"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H64" i="19" l="1"/>
  <c r="I72" i="18"/>
  <c r="K63" i="19"/>
  <c r="K62" i="19"/>
  <c r="K66" i="19" s="1"/>
  <c r="K64" i="19"/>
  <c r="I64" i="19"/>
  <c r="I62" i="19"/>
  <c r="I66" i="19" s="1"/>
  <c r="H62" i="19"/>
  <c r="H66" i="19" s="1"/>
  <c r="H63" i="19"/>
  <c r="J62" i="19"/>
  <c r="J66" i="19" s="1"/>
  <c r="J64" i="19"/>
  <c r="K67" i="19" l="1"/>
  <c r="K68" i="19"/>
  <c r="I67" i="19"/>
  <c r="I68" i="19"/>
  <c r="H67" i="19"/>
  <c r="H68" i="19"/>
  <c r="J67" i="19"/>
  <c r="J68" i="19"/>
</calcChain>
</file>

<file path=xl/sharedStrings.xml><?xml version="1.0" encoding="utf-8"?>
<sst xmlns="http://schemas.openxmlformats.org/spreadsheetml/2006/main" count="517" uniqueCount="450">
  <si>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</si>
  <si>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</si>
  <si>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</si>
  <si>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</si>
  <si>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</si>
  <si>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</si>
  <si>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</si>
  <si>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</si>
  <si>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</si>
  <si>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</si>
  <si>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</si>
  <si>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</si>
  <si>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</si>
  <si>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</si>
  <si>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</si>
  <si>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</si>
  <si>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</si>
  <si>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</si>
  <si>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</si>
  <si>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</si>
  <si>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</si>
  <si>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</si>
  <si>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</si>
  <si>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</si>
  <si>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</si>
  <si>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</si>
  <si>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</si>
  <si>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</si>
  <si>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</si>
  <si>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</si>
  <si>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</si>
  <si>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</si>
  <si>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</si>
  <si>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</si>
  <si>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</si>
  <si>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</si>
  <si>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</si>
  <si>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</si>
  <si>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</si>
  <si>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</si>
  <si>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</si>
  <si>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</si>
  <si>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</si>
  <si>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</si>
  <si>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</si>
  <si>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</si>
  <si>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</si>
  <si>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</si>
  <si>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</si>
  <si>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</si>
  <si>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</si>
  <si>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</si>
  <si>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</si>
  <si>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</si>
  <si>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</si>
  <si>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</si>
  <si>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</si>
  <si>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</si>
  <si>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</si>
  <si>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</si>
  <si>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</si>
  <si>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</si>
  <si>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</si>
  <si>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</si>
  <si>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</si>
  <si>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</si>
  <si>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</si>
  <si>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</si>
  <si>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</si>
  <si>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</si>
  <si>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</si>
  <si>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</si>
  <si>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</si>
  <si>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</si>
  <si>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</si>
  <si>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</si>
  <si>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</si>
  <si>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</si>
  <si>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</si>
  <si>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</si>
  <si>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</si>
  <si>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</si>
  <si>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</si>
  <si>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</si>
  <si>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</si>
  <si>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</si>
  <si>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</si>
  <si>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</si>
  <si>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</si>
  <si>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</si>
  <si>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</si>
  <si>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</si>
  <si>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</si>
  <si>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</si>
  <si>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</si>
  <si>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</si>
  <si>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</si>
  <si>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</si>
  <si>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</si>
  <si>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</si>
  <si>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</si>
  <si>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</si>
  <si>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</si>
  <si>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</si>
  <si>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</si>
  <si>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</si>
  <si>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</si>
  <si>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</si>
  <si>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</si>
  <si>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</si>
  <si>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</si>
  <si>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</si>
  <si>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</si>
  <si>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</si>
  <si>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</si>
  <si>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</si>
  <si>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</si>
  <si>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</si>
  <si>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</si>
  <si>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</si>
  <si>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</si>
  <si>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</si>
  <si>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</si>
  <si>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</si>
  <si>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</si>
  <si>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</si>
  <si>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</si>
  <si>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</si>
  <si>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</si>
  <si>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</si>
  <si>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</si>
  <si>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</si>
  <si>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</si>
  <si>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</si>
  <si>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</si>
  <si>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</si>
  <si>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</si>
  <si>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</si>
  <si>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</si>
  <si>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</si>
  <si>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</si>
  <si>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</si>
  <si>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</si>
  <si>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</si>
  <si>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</si>
  <si>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</si>
  <si>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</si>
  <si>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</si>
  <si>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</si>
  <si>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</si>
  <si>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</si>
  <si>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</si>
  <si>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</si>
  <si>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</si>
  <si>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</si>
  <si>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</si>
  <si>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</si>
  <si>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</si>
  <si>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</si>
  <si>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</si>
  <si>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</si>
  <si>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</si>
  <si>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</si>
  <si>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</si>
  <si>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</si>
  <si>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</si>
  <si>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</si>
  <si>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</si>
  <si>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</si>
  <si>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</si>
  <si>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</si>
  <si>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</si>
  <si>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</si>
  <si>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</si>
  <si>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</si>
  <si>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</si>
  <si>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</si>
  <si>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</si>
  <si>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</si>
  <si>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</si>
  <si>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</si>
  <si>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</si>
  <si>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</si>
  <si>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</si>
  <si>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</si>
  <si>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</si>
  <si>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</si>
  <si>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</si>
  <si>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</si>
  <si>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</si>
  <si>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</si>
  <si>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</si>
  <si>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</si>
  <si>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</si>
  <si>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</si>
  <si>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</si>
  <si>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</si>
  <si>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</si>
  <si>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</si>
  <si>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</si>
  <si>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</si>
  <si>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</si>
  <si>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</si>
  <si>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</si>
  <si>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</si>
  <si>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</si>
  <si>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</si>
  <si>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</si>
  <si>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</si>
  <si>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</si>
  <si>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</si>
  <si>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</si>
  <si>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</si>
  <si>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</si>
  <si>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</si>
  <si>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</si>
  <si>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</si>
  <si>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</si>
  <si>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</si>
  <si>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</si>
  <si>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</si>
  <si>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</si>
  <si>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</si>
  <si>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</si>
  <si>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</si>
  <si>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</si>
  <si>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</si>
  <si>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</si>
  <si>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</si>
  <si>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</si>
  <si>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</si>
  <si>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</si>
  <si>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</si>
  <si>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</si>
  <si>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</si>
  <si>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</si>
  <si>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</si>
  <si>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</si>
  <si>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</si>
  <si>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</si>
  <si>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</si>
  <si>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</si>
  <si>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</si>
  <si>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</si>
  <si>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</si>
  <si>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</si>
  <si>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</si>
  <si>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</si>
  <si>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</si>
  <si>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</si>
  <si>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</si>
  <si>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</si>
  <si>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</si>
  <si>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</si>
  <si>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</si>
  <si>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</si>
  <si>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</si>
  <si>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</si>
  <si>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</si>
  <si>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</si>
  <si>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</si>
  <si>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</si>
  <si>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</si>
  <si>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</si>
  <si>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</si>
  <si>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</si>
  <si>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</si>
  <si>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</si>
  <si>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</si>
  <si>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</si>
  <si>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</si>
  <si>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</si>
  <si>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</si>
  <si>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</si>
  <si>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</si>
  <si>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</si>
  <si>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</si>
  <si>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</si>
  <si>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</si>
  <si>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</si>
  <si>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</si>
  <si>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</si>
  <si>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</si>
  <si>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</si>
  <si>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</si>
  <si>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</si>
  <si>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</si>
  <si>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</si>
  <si>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</si>
  <si>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</si>
  <si>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</si>
  <si>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</si>
  <si>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</si>
  <si>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</si>
  <si>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</si>
  <si>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</si>
  <si>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</si>
  <si>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</si>
  <si>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</si>
  <si>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</si>
  <si>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</si>
  <si>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</si>
  <si>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</si>
  <si>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</si>
  <si>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</si>
  <si>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</si>
  <si>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</si>
  <si>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</si>
  <si>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</si>
  <si>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</si>
  <si>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</si>
  <si>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</si>
  <si>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</si>
  <si>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</si>
  <si>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</si>
  <si>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</si>
  <si>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</si>
  <si>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</si>
  <si>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</si>
  <si>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</si>
  <si>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</si>
  <si>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</si>
  <si>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</si>
  <si>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</si>
  <si>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</si>
  <si>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</si>
  <si>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</si>
  <si>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</si>
  <si>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</si>
  <si>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</si>
  <si>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</si>
  <si>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</si>
  <si>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</si>
  <si>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</si>
  <si>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</si>
  <si>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</si>
  <si>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</si>
  <si>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</si>
  <si>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</si>
  <si>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</si>
  <si>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</si>
  <si>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</si>
  <si>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</si>
  <si>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</si>
  <si>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</si>
  <si>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</si>
  <si>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</si>
  <si>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</si>
  <si>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</si>
  <si>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</si>
  <si>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</si>
  <si>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</si>
  <si>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</si>
  <si>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</si>
  <si>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</si>
  <si>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</si>
  <si>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</si>
  <si>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</si>
  <si>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</si>
  <si>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</si>
  <si>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</si>
  <si>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</si>
  <si>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</si>
  <si>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</si>
  <si>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</si>
  <si>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</si>
  <si>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</si>
  <si>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</si>
  <si>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</si>
  <si>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</si>
  <si>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</si>
  <si>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</si>
  <si>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</si>
  <si>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</si>
  <si>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</si>
  <si>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</si>
  <si>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</si>
  <si>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</si>
  <si>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</si>
  <si>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</si>
  <si>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</si>
  <si>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</si>
  <si>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</si>
  <si>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</si>
  <si>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</si>
  <si>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</si>
  <si>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</si>
  <si>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</si>
  <si>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</si>
  <si>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</si>
  <si>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</si>
  <si>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</si>
  <si>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</si>
  <si>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</si>
  <si>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</si>
  <si>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</si>
  <si>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</si>
  <si>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</si>
  <si>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</si>
  <si>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</si>
  <si>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</si>
  <si>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</si>
  <si>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</si>
  <si>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</si>
  <si>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</si>
  <si>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</si>
  <si>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</si>
  <si>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</si>
  <si>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</si>
  <si>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</si>
  <si>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</si>
  <si>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</si>
  <si>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</si>
  <si>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</si>
  <si>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</si>
  <si>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</si>
  <si>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</si>
  <si>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</si>
  <si>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</si>
  <si>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</si>
  <si>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</si>
  <si>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</si>
  <si>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</si>
  <si>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</si>
  <si>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</si>
  <si>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</si>
  <si>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</si>
  <si>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</si>
  <si>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</si>
  <si>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</si>
  <si>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</si>
  <si>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</si>
  <si>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</si>
  <si>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03440885</t>
  </si>
  <si>
    <t>HR</t>
  </si>
  <si>
    <t>60008247</t>
  </si>
  <si>
    <t>88557173997</t>
  </si>
  <si>
    <t>747800XOTCQ28KTZ3Y28</t>
  </si>
  <si>
    <t>1260</t>
  </si>
  <si>
    <t>HOTELI MAESTRAL d.d.</t>
  </si>
  <si>
    <t>DUBROVNIK</t>
  </si>
  <si>
    <t>Ćira Carića 3</t>
  </si>
  <si>
    <t>hotelimaestral@hotelimaestral.com</t>
  </si>
  <si>
    <t>www.hotelimaestral.com</t>
  </si>
  <si>
    <t>Zuanić Marijana</t>
  </si>
  <si>
    <t>020/433-600</t>
  </si>
  <si>
    <t xml:space="preserve">stanje na dan 31.12.2019 </t>
  </si>
  <si>
    <t>Obveznik: HOTELI MAESTRAL d.d.</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</si>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</sst>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7" workbookViewId="0">
      <selection activeCell="C30" sqref="C3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v>43830</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415</v>
      </c>
      <c r="B10" s="148"/>
      <c r="C10" s="148"/>
      <c r="D10" s="148"/>
      <c r="E10" s="148"/>
      <c r="F10" s="148"/>
      <c r="G10" s="148"/>
      <c r="H10" s="148"/>
      <c r="I10" s="148"/>
      <c r="J10" s="90"/>
    </row>
    <row r="11" spans="1:20" ht="24.6" customHeight="1" x14ac:dyDescent="0.25">
      <c r="A11" s="149" t="s">
        <v>393</v>
      </c>
      <c r="B11" s="150"/>
      <c r="C11" s="142" t="s">
        <v>433</v>
      </c>
      <c r="D11" s="143"/>
      <c r="E11" s="91"/>
      <c r="F11" s="151" t="s">
        <v>416</v>
      </c>
      <c r="G11" s="141"/>
      <c r="H11" s="152" t="s">
        <v>434</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435</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417</v>
      </c>
      <c r="H15" s="152" t="s">
        <v>437</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418</v>
      </c>
      <c r="C17" s="142" t="s">
        <v>438</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439</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20000</v>
      </c>
      <c r="D21" s="153"/>
      <c r="E21" s="146"/>
      <c r="F21" s="146"/>
      <c r="G21" s="157" t="s">
        <v>440</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441</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442</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443</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151</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420</v>
      </c>
      <c r="D31" s="166" t="s">
        <v>419</v>
      </c>
      <c r="E31" s="167"/>
      <c r="F31" s="167"/>
      <c r="G31" s="167"/>
      <c r="H31" s="106"/>
      <c r="I31" s="107" t="s">
        <v>420</v>
      </c>
      <c r="J31" s="108" t="s">
        <v>421</v>
      </c>
    </row>
    <row r="32" spans="1:10" x14ac:dyDescent="0.25">
      <c r="A32" s="149"/>
      <c r="B32" s="156"/>
      <c r="C32" s="109"/>
      <c r="D32" s="77"/>
      <c r="E32" s="161"/>
      <c r="F32" s="161"/>
      <c r="G32" s="161"/>
      <c r="H32" s="161"/>
      <c r="I32" s="104"/>
      <c r="J32" s="105"/>
    </row>
    <row r="33" spans="1:10" x14ac:dyDescent="0.25">
      <c r="A33" s="149" t="s">
        <v>410</v>
      </c>
      <c r="B33" s="156"/>
      <c r="C33" s="102" t="s">
        <v>423</v>
      </c>
      <c r="D33" s="166" t="s">
        <v>422</v>
      </c>
      <c r="E33" s="167"/>
      <c r="F33" s="167"/>
      <c r="G33" s="167"/>
      <c r="H33" s="100"/>
      <c r="I33" s="107" t="s">
        <v>423</v>
      </c>
      <c r="J33" s="108" t="s">
        <v>424</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425</v>
      </c>
    </row>
    <row r="49" spans="1:10" x14ac:dyDescent="0.25">
      <c r="A49" s="113"/>
      <c r="B49" s="101"/>
      <c r="C49" s="101"/>
      <c r="D49" s="94"/>
      <c r="E49" s="146"/>
      <c r="F49" s="146"/>
      <c r="G49" s="172"/>
      <c r="H49" s="172"/>
      <c r="I49" s="94"/>
      <c r="J49" s="114" t="s">
        <v>426</v>
      </c>
    </row>
    <row r="50" spans="1:10" ht="14.45" customHeight="1" x14ac:dyDescent="0.25">
      <c r="A50" s="140" t="s">
        <v>403</v>
      </c>
      <c r="B50" s="151"/>
      <c r="C50" s="152" t="s">
        <v>426</v>
      </c>
      <c r="D50" s="153"/>
      <c r="E50" s="178" t="s">
        <v>427</v>
      </c>
      <c r="F50" s="179"/>
      <c r="G50" s="157"/>
      <c r="H50" s="158"/>
      <c r="I50" s="158"/>
      <c r="J50" s="159"/>
    </row>
    <row r="51" spans="1:10" x14ac:dyDescent="0.25">
      <c r="A51" s="113"/>
      <c r="B51" s="101"/>
      <c r="C51" s="172"/>
      <c r="D51" s="172"/>
      <c r="E51" s="146"/>
      <c r="F51" s="146"/>
      <c r="G51" s="180" t="s">
        <v>428</v>
      </c>
      <c r="H51" s="180"/>
      <c r="I51" s="180"/>
      <c r="J51" s="85"/>
    </row>
    <row r="52" spans="1:10" ht="13.9" customHeight="1" x14ac:dyDescent="0.25">
      <c r="A52" s="140" t="s">
        <v>404</v>
      </c>
      <c r="B52" s="151"/>
      <c r="C52" s="157" t="s">
        <v>444</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445</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442</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429</v>
      </c>
      <c r="B58" s="151"/>
      <c r="C58" s="181"/>
      <c r="D58" s="182"/>
      <c r="E58" s="182"/>
      <c r="F58" s="182"/>
      <c r="G58" s="182"/>
      <c r="H58" s="182"/>
      <c r="I58" s="182"/>
      <c r="J58" s="183"/>
    </row>
    <row r="59" spans="1:10" ht="14.45" customHeight="1" x14ac:dyDescent="0.25">
      <c r="A59" s="93"/>
      <c r="B59" s="94"/>
      <c r="C59" s="184" t="s">
        <v>430</v>
      </c>
      <c r="D59" s="184"/>
      <c r="E59" s="184"/>
      <c r="F59" s="184"/>
      <c r="G59" s="94"/>
      <c r="H59" s="94"/>
      <c r="I59" s="94"/>
      <c r="J59" s="96"/>
    </row>
    <row r="60" spans="1:10" x14ac:dyDescent="0.25">
      <c r="A60" s="140" t="s">
        <v>431</v>
      </c>
      <c r="B60" s="151"/>
      <c r="C60" s="181"/>
      <c r="D60" s="182"/>
      <c r="E60" s="182"/>
      <c r="F60" s="182"/>
      <c r="G60" s="182"/>
      <c r="H60" s="182"/>
      <c r="I60" s="182"/>
      <c r="J60" s="183"/>
    </row>
    <row r="61" spans="1:10" ht="14.45" customHeight="1" x14ac:dyDescent="0.25">
      <c r="A61" s="115"/>
      <c r="B61" s="116"/>
      <c r="C61" s="185" t="s">
        <v>432</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5" zoomScale="130" zoomScaleNormal="100" zoomScaleSheetLayoutView="130" workbookViewId="0">
      <selection activeCell="H135" sqref="H13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446</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447</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88429375</v>
      </c>
      <c r="I9" s="34">
        <f>I10+I17+I27+I38+I43</f>
        <v>89882154</v>
      </c>
    </row>
    <row r="10" spans="1:9" ht="12.75" customHeight="1" x14ac:dyDescent="0.2">
      <c r="A10" s="187" t="s">
        <v>5</v>
      </c>
      <c r="B10" s="187"/>
      <c r="C10" s="187"/>
      <c r="D10" s="187"/>
      <c r="E10" s="187"/>
      <c r="F10" s="187"/>
      <c r="G10" s="16">
        <v>3</v>
      </c>
      <c r="H10" s="34">
        <f>H11+H12+H13+H14+H15+H16</f>
        <v>207796</v>
      </c>
      <c r="I10" s="34">
        <f>I11+I12+I13+I14+I15+I16</f>
        <v>157911</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207796</v>
      </c>
      <c r="I12" s="33">
        <v>137911</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20000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87904633</v>
      </c>
      <c r="I17" s="34">
        <f>I18+I19+I20+I21+I22+I23+I24+I25+I26</f>
        <v>89548118</v>
      </c>
    </row>
    <row r="18" spans="1:9" ht="12.75" customHeight="1" x14ac:dyDescent="0.2">
      <c r="A18" s="186" t="s">
        <v>13</v>
      </c>
      <c r="B18" s="186"/>
      <c r="C18" s="186"/>
      <c r="D18" s="186"/>
      <c r="E18" s="186"/>
      <c r="F18" s="186"/>
      <c r="G18" s="15">
        <v>11</v>
      </c>
      <c r="H18" s="33">
        <v>38688097</v>
      </c>
      <c r="I18" s="33">
        <v>38688097</v>
      </c>
    </row>
    <row r="19" spans="1:9" ht="12.75" customHeight="1" x14ac:dyDescent="0.2">
      <c r="A19" s="186" t="s">
        <v>14</v>
      </c>
      <c r="B19" s="186"/>
      <c r="C19" s="186"/>
      <c r="D19" s="186"/>
      <c r="E19" s="186"/>
      <c r="F19" s="186"/>
      <c r="G19" s="15">
        <v>12</v>
      </c>
      <c r="H19" s="33">
        <f>154876969-109210118-1537999-1512654-2854882</f>
        <v>39761316</v>
      </c>
      <c r="I19" s="33">
        <f>157096019-111055877-1603336-1563796-3001368</f>
        <v>39871642</v>
      </c>
    </row>
    <row r="20" spans="1:9" ht="12.75" customHeight="1" x14ac:dyDescent="0.2">
      <c r="A20" s="186" t="s">
        <v>15</v>
      </c>
      <c r="B20" s="186"/>
      <c r="C20" s="186"/>
      <c r="D20" s="186"/>
      <c r="E20" s="186"/>
      <c r="F20" s="186"/>
      <c r="G20" s="15">
        <v>13</v>
      </c>
      <c r="H20" s="33">
        <f>6333996+481344</f>
        <v>6815340</v>
      </c>
      <c r="I20" s="33">
        <f>28869439-1976703-102955-4410125-1408727-7767687-6147903-743400+4540387-4176710</f>
        <v>6675616</v>
      </c>
    </row>
    <row r="21" spans="1:9" ht="12.75" customHeight="1" x14ac:dyDescent="0.2">
      <c r="A21" s="186" t="s">
        <v>16</v>
      </c>
      <c r="B21" s="186"/>
      <c r="C21" s="186"/>
      <c r="D21" s="186"/>
      <c r="E21" s="186"/>
      <c r="F21" s="186"/>
      <c r="G21" s="15">
        <v>14</v>
      </c>
      <c r="H21" s="33">
        <v>1318838</v>
      </c>
      <c r="I21" s="33">
        <f>19491272-1208981-32499-12777023-1666702-382151-424338</f>
        <v>2999578</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72618</v>
      </c>
      <c r="I24" s="33">
        <v>64776</v>
      </c>
    </row>
    <row r="25" spans="1:9" ht="12.75" customHeight="1" x14ac:dyDescent="0.2">
      <c r="A25" s="186" t="s">
        <v>20</v>
      </c>
      <c r="B25" s="186"/>
      <c r="C25" s="186"/>
      <c r="D25" s="186"/>
      <c r="E25" s="186"/>
      <c r="F25" s="186"/>
      <c r="G25" s="15">
        <v>18</v>
      </c>
      <c r="H25" s="33">
        <v>367787</v>
      </c>
      <c r="I25" s="33">
        <v>367772</v>
      </c>
    </row>
    <row r="26" spans="1:9" ht="12.75" customHeight="1" x14ac:dyDescent="0.2">
      <c r="A26" s="186" t="s">
        <v>21</v>
      </c>
      <c r="B26" s="186"/>
      <c r="C26" s="186"/>
      <c r="D26" s="186"/>
      <c r="E26" s="186"/>
      <c r="F26" s="186"/>
      <c r="G26" s="15">
        <v>19</v>
      </c>
      <c r="H26" s="33">
        <v>880637</v>
      </c>
      <c r="I26" s="33">
        <v>880637</v>
      </c>
    </row>
    <row r="27" spans="1:9" ht="12.75" customHeight="1" x14ac:dyDescent="0.2">
      <c r="A27" s="187" t="s">
        <v>22</v>
      </c>
      <c r="B27" s="187"/>
      <c r="C27" s="187"/>
      <c r="D27" s="187"/>
      <c r="E27" s="187"/>
      <c r="F27" s="187"/>
      <c r="G27" s="16">
        <v>20</v>
      </c>
      <c r="H27" s="34">
        <f>SUM(H28:H37)</f>
        <v>316946</v>
      </c>
      <c r="I27" s="34">
        <f>SUM(I28:I37)</f>
        <v>176125</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316946</v>
      </c>
      <c r="I36" s="33">
        <v>176125</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8855665</v>
      </c>
      <c r="I44" s="34">
        <f>I45+I53+I60+I70</f>
        <v>11441463</v>
      </c>
    </row>
    <row r="45" spans="1:9" ht="12.75" customHeight="1" x14ac:dyDescent="0.2">
      <c r="A45" s="187" t="s">
        <v>39</v>
      </c>
      <c r="B45" s="187"/>
      <c r="C45" s="187"/>
      <c r="D45" s="187"/>
      <c r="E45" s="187"/>
      <c r="F45" s="187"/>
      <c r="G45" s="16">
        <v>38</v>
      </c>
      <c r="H45" s="34">
        <f>SUM(H46:H52)</f>
        <v>383712</v>
      </c>
      <c r="I45" s="34">
        <f>SUM(I46:I52)</f>
        <v>397712</v>
      </c>
    </row>
    <row r="46" spans="1:9" ht="12.75" customHeight="1" x14ac:dyDescent="0.2">
      <c r="A46" s="186" t="s">
        <v>40</v>
      </c>
      <c r="B46" s="186"/>
      <c r="C46" s="186"/>
      <c r="D46" s="186"/>
      <c r="E46" s="186"/>
      <c r="F46" s="186"/>
      <c r="G46" s="15">
        <v>39</v>
      </c>
      <c r="H46" s="33">
        <f>850527-481344</f>
        <v>369183</v>
      </c>
      <c r="I46" s="33">
        <f>358299+6082+304157-304157</f>
        <v>364381</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510</v>
      </c>
      <c r="I49" s="33">
        <v>1272</v>
      </c>
    </row>
    <row r="50" spans="1:9" ht="12.75" customHeight="1" x14ac:dyDescent="0.2">
      <c r="A50" s="186" t="s">
        <v>44</v>
      </c>
      <c r="B50" s="186"/>
      <c r="C50" s="186"/>
      <c r="D50" s="186"/>
      <c r="E50" s="186"/>
      <c r="F50" s="186"/>
      <c r="G50" s="15">
        <v>43</v>
      </c>
      <c r="H50" s="33">
        <v>14019</v>
      </c>
      <c r="I50" s="33">
        <v>32059</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782741</v>
      </c>
      <c r="I53" s="34">
        <f>SUM(I54:I59)</f>
        <v>735352</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318864</v>
      </c>
      <c r="I56" s="33">
        <v>422482</v>
      </c>
    </row>
    <row r="57" spans="1:9" ht="12.75" customHeight="1" x14ac:dyDescent="0.2">
      <c r="A57" s="186" t="s">
        <v>51</v>
      </c>
      <c r="B57" s="186"/>
      <c r="C57" s="186"/>
      <c r="D57" s="186"/>
      <c r="E57" s="186"/>
      <c r="F57" s="186"/>
      <c r="G57" s="15">
        <v>50</v>
      </c>
      <c r="H57" s="33">
        <v>6606</v>
      </c>
      <c r="I57" s="33">
        <v>5287</v>
      </c>
    </row>
    <row r="58" spans="1:9" ht="12.75" customHeight="1" x14ac:dyDescent="0.2">
      <c r="A58" s="186" t="s">
        <v>52</v>
      </c>
      <c r="B58" s="186"/>
      <c r="C58" s="186"/>
      <c r="D58" s="186"/>
      <c r="E58" s="186"/>
      <c r="F58" s="186"/>
      <c r="G58" s="15">
        <v>51</v>
      </c>
      <c r="H58" s="33">
        <v>447590</v>
      </c>
      <c r="I58" s="33">
        <f>131027+168660</f>
        <v>299687</v>
      </c>
    </row>
    <row r="59" spans="1:9" ht="12.75" customHeight="1" x14ac:dyDescent="0.2">
      <c r="A59" s="186" t="s">
        <v>53</v>
      </c>
      <c r="B59" s="186"/>
      <c r="C59" s="186"/>
      <c r="D59" s="186"/>
      <c r="E59" s="186"/>
      <c r="F59" s="186"/>
      <c r="G59" s="15">
        <v>52</v>
      </c>
      <c r="H59" s="33">
        <v>9681</v>
      </c>
      <c r="I59" s="33">
        <f>52882-44986</f>
        <v>7896</v>
      </c>
    </row>
    <row r="60" spans="1:9" ht="12.75" customHeight="1" x14ac:dyDescent="0.2">
      <c r="A60" s="187" t="s">
        <v>54</v>
      </c>
      <c r="B60" s="187"/>
      <c r="C60" s="187"/>
      <c r="D60" s="187"/>
      <c r="E60" s="187"/>
      <c r="F60" s="187"/>
      <c r="G60" s="16">
        <v>53</v>
      </c>
      <c r="H60" s="34">
        <f>SUM(H61:H69)</f>
        <v>0</v>
      </c>
      <c r="I60" s="34">
        <f>SUM(I61:I69)</f>
        <v>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7689212</v>
      </c>
      <c r="I70" s="33">
        <v>10308399</v>
      </c>
    </row>
    <row r="71" spans="1:9" ht="12.75" customHeight="1" x14ac:dyDescent="0.2">
      <c r="A71" s="203" t="s">
        <v>58</v>
      </c>
      <c r="B71" s="203"/>
      <c r="C71" s="203"/>
      <c r="D71" s="203"/>
      <c r="E71" s="203"/>
      <c r="F71" s="203"/>
      <c r="G71" s="15">
        <v>64</v>
      </c>
      <c r="H71" s="33">
        <v>916810</v>
      </c>
      <c r="I71" s="33">
        <v>350967</v>
      </c>
    </row>
    <row r="72" spans="1:9" ht="12.75" customHeight="1" x14ac:dyDescent="0.2">
      <c r="A72" s="188" t="s">
        <v>383</v>
      </c>
      <c r="B72" s="188"/>
      <c r="C72" s="188"/>
      <c r="D72" s="188"/>
      <c r="E72" s="188"/>
      <c r="F72" s="188"/>
      <c r="G72" s="16">
        <v>65</v>
      </c>
      <c r="H72" s="34">
        <f>H8+H9+H44+H71</f>
        <v>98201850</v>
      </c>
      <c r="I72" s="34">
        <f>I8+I9+I44+I71</f>
        <v>101674584</v>
      </c>
    </row>
    <row r="73" spans="1:9" ht="12.75" customHeight="1" x14ac:dyDescent="0.2">
      <c r="A73" s="203" t="s">
        <v>59</v>
      </c>
      <c r="B73" s="203"/>
      <c r="C73" s="203"/>
      <c r="D73" s="203"/>
      <c r="E73" s="203"/>
      <c r="F73" s="203"/>
      <c r="G73" s="15">
        <v>66</v>
      </c>
      <c r="H73" s="33">
        <v>108026196</v>
      </c>
      <c r="I73" s="33">
        <v>108026196</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34260089</v>
      </c>
      <c r="I75" s="34">
        <f>I76+I77+I78+I84+I85+I89+I92+I95</f>
        <v>40848534</v>
      </c>
    </row>
    <row r="76" spans="1:9" ht="12.75" customHeight="1" x14ac:dyDescent="0.2">
      <c r="A76" s="186" t="s">
        <v>61</v>
      </c>
      <c r="B76" s="186"/>
      <c r="C76" s="186"/>
      <c r="D76" s="186"/>
      <c r="E76" s="186"/>
      <c r="F76" s="186"/>
      <c r="G76" s="15">
        <v>68</v>
      </c>
      <c r="H76" s="33">
        <v>103144000</v>
      </c>
      <c r="I76" s="33">
        <v>103144000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216263</v>
      </c>
      <c r="I78" s="34">
        <f>SUM(I79:I83)</f>
        <v>216263</v>
      </c>
    </row>
    <row r="79" spans="1:9" ht="12.75" customHeight="1" x14ac:dyDescent="0.2">
      <c r="A79" s="186" t="s">
        <v>64</v>
      </c>
      <c r="B79" s="186"/>
      <c r="C79" s="186"/>
      <c r="D79" s="186"/>
      <c r="E79" s="186"/>
      <c r="F79" s="186"/>
      <c r="G79" s="15">
        <v>71</v>
      </c>
      <c r="H79" s="33">
        <v>216263</v>
      </c>
      <c r="I79" s="33">
        <v>216263</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-72224950</v>
      </c>
      <c r="I89" s="34">
        <f>I90-I91</f>
        <v>-69100174</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72224950</v>
      </c>
      <c r="I91" s="33">
        <v>69100174</v>
      </c>
    </row>
    <row r="92" spans="1:9" ht="12.75" customHeight="1" x14ac:dyDescent="0.2">
      <c r="A92" s="187" t="s">
        <v>77</v>
      </c>
      <c r="B92" s="187"/>
      <c r="C92" s="187"/>
      <c r="D92" s="187"/>
      <c r="E92" s="187"/>
      <c r="F92" s="187"/>
      <c r="G92" s="16">
        <v>84</v>
      </c>
      <c r="H92" s="34">
        <f>H93-H94</f>
        <v>3124776</v>
      </c>
      <c r="I92" s="34">
        <f>I93-I94</f>
        <v>6588445</v>
      </c>
    </row>
    <row r="93" spans="1:9" ht="12.75" customHeight="1" x14ac:dyDescent="0.2">
      <c r="A93" s="186" t="s">
        <v>78</v>
      </c>
      <c r="B93" s="186"/>
      <c r="C93" s="186"/>
      <c r="D93" s="186"/>
      <c r="E93" s="186"/>
      <c r="F93" s="186"/>
      <c r="G93" s="15">
        <v>85</v>
      </c>
      <c r="H93" s="33">
        <v>3124776</v>
      </c>
      <c r="I93" s="33">
        <v>6588445</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742380</v>
      </c>
      <c r="I96" s="34">
        <f>SUM(I97:I102)</f>
        <v>1486589</v>
      </c>
    </row>
    <row r="97" spans="1:9" ht="12.75" customHeight="1" x14ac:dyDescent="0.2">
      <c r="A97" s="186" t="s">
        <v>81</v>
      </c>
      <c r="B97" s="186"/>
      <c r="C97" s="186"/>
      <c r="D97" s="186"/>
      <c r="E97" s="186"/>
      <c r="F97" s="186"/>
      <c r="G97" s="15">
        <v>89</v>
      </c>
      <c r="H97" s="33">
        <v>478380</v>
      </c>
      <c r="I97" s="33">
        <f>472589+750000</f>
        <v>1222589</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264000</v>
      </c>
      <c r="I99" s="33">
        <v>264000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53261875</v>
      </c>
      <c r="I103" s="34">
        <f>SUM(I104:I114)</f>
        <v>53431431</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51568303</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1469858</v>
      </c>
      <c r="I109" s="33">
        <f>53431431-223714</f>
        <v>53207717</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223714</v>
      </c>
      <c r="I113" s="33">
        <v>223714</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7495490</v>
      </c>
      <c r="I115" s="34">
        <f>SUM(I116:I129)</f>
        <v>3604922</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2942569</v>
      </c>
      <c r="I121" s="33">
        <v>17061</v>
      </c>
    </row>
    <row r="122" spans="1:9" ht="12.75" customHeight="1" x14ac:dyDescent="0.2">
      <c r="A122" s="186" t="s">
        <v>93</v>
      </c>
      <c r="B122" s="186"/>
      <c r="C122" s="186"/>
      <c r="D122" s="186"/>
      <c r="E122" s="186"/>
      <c r="F122" s="186"/>
      <c r="G122" s="15">
        <v>114</v>
      </c>
      <c r="H122" s="33">
        <v>1095737</v>
      </c>
      <c r="I122" s="33">
        <v>509510</v>
      </c>
    </row>
    <row r="123" spans="1:9" ht="12.75" customHeight="1" x14ac:dyDescent="0.2">
      <c r="A123" s="186" t="s">
        <v>94</v>
      </c>
      <c r="B123" s="186"/>
      <c r="C123" s="186"/>
      <c r="D123" s="186"/>
      <c r="E123" s="186"/>
      <c r="F123" s="186"/>
      <c r="G123" s="15">
        <v>115</v>
      </c>
      <c r="H123" s="33">
        <v>1313909</v>
      </c>
      <c r="I123" s="33">
        <v>903131</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1435417</v>
      </c>
      <c r="I125" s="33">
        <f>21274+1061679</f>
        <v>1082953</v>
      </c>
    </row>
    <row r="126" spans="1:9" x14ac:dyDescent="0.2">
      <c r="A126" s="186" t="s">
        <v>99</v>
      </c>
      <c r="B126" s="186"/>
      <c r="C126" s="186"/>
      <c r="D126" s="186"/>
      <c r="E126" s="186"/>
      <c r="F126" s="186"/>
      <c r="G126" s="15">
        <v>118</v>
      </c>
      <c r="H126" s="33">
        <v>688108</v>
      </c>
      <c r="I126" s="33">
        <f>863+237775+21134+5809+291140+112861+11660-15229+3+416250+1</f>
        <v>1082267</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19750</v>
      </c>
      <c r="I129" s="33">
        <v>10000</v>
      </c>
    </row>
    <row r="130" spans="1:9" ht="22.15" customHeight="1" x14ac:dyDescent="0.2">
      <c r="A130" s="203" t="s">
        <v>103</v>
      </c>
      <c r="B130" s="203"/>
      <c r="C130" s="203"/>
      <c r="D130" s="203"/>
      <c r="E130" s="203"/>
      <c r="F130" s="203"/>
      <c r="G130" s="15">
        <v>122</v>
      </c>
      <c r="H130" s="33">
        <v>2442016</v>
      </c>
      <c r="I130" s="33">
        <v>2303108</v>
      </c>
    </row>
    <row r="131" spans="1:9" x14ac:dyDescent="0.2">
      <c r="A131" s="188" t="s">
        <v>388</v>
      </c>
      <c r="B131" s="188"/>
      <c r="C131" s="188"/>
      <c r="D131" s="188"/>
      <c r="E131" s="188"/>
      <c r="F131" s="188"/>
      <c r="G131" s="16">
        <v>123</v>
      </c>
      <c r="H131" s="34">
        <f>H75+H96+H103+H115+H130</f>
        <v>98201850</v>
      </c>
      <c r="I131" s="34">
        <f>I75+I96+I103+I115+I130</f>
        <v>101674584</v>
      </c>
    </row>
    <row r="132" spans="1:9" x14ac:dyDescent="0.2">
      <c r="A132" s="203" t="s">
        <v>104</v>
      </c>
      <c r="B132" s="203"/>
      <c r="C132" s="203"/>
      <c r="D132" s="203"/>
      <c r="E132" s="203"/>
      <c r="F132" s="203"/>
      <c r="G132" s="15">
        <v>124</v>
      </c>
      <c r="H132" s="33">
        <v>108026196</v>
      </c>
      <c r="I132" s="33">
        <v>108026196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8"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71" zoomScaleNormal="100" zoomScaleSheetLayoutView="110" workbookViewId="0">
      <selection activeCell="K110" sqref="K11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448</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447</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57037092</v>
      </c>
      <c r="I8" s="37">
        <f>SUM(I9:I13)</f>
        <v>5385572</v>
      </c>
      <c r="J8" s="37">
        <f>SUM(J9:J13)</f>
        <v>63432079</v>
      </c>
      <c r="K8" s="37">
        <f>SUM(K9:K13)</f>
        <v>6921003</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55523213</v>
      </c>
      <c r="I10" s="33">
        <v>4677916</v>
      </c>
      <c r="J10" s="33">
        <f>13172873+49101384</f>
        <v>62274257</v>
      </c>
      <c r="K10" s="33">
        <f>62274257-55681230</f>
        <v>6593027</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1513879</v>
      </c>
      <c r="I13" s="33">
        <v>707656</v>
      </c>
      <c r="J13" s="33">
        <f>50462+669620+191833+94055+151852</f>
        <v>1157822</v>
      </c>
      <c r="K13" s="33">
        <f>1157822-829846</f>
        <v>327976</v>
      </c>
    </row>
    <row r="14" spans="1:11" x14ac:dyDescent="0.2">
      <c r="A14" s="222" t="s">
        <v>126</v>
      </c>
      <c r="B14" s="222"/>
      <c r="C14" s="222"/>
      <c r="D14" s="222"/>
      <c r="E14" s="222"/>
      <c r="F14" s="222"/>
      <c r="G14" s="20">
        <v>131</v>
      </c>
      <c r="H14" s="37">
        <f>H15+H16+H20+H24+H25+H26+H29+H36</f>
        <v>51762455</v>
      </c>
      <c r="I14" s="37">
        <f>I15+I16+I20+I24+I25+I26+I29+I36</f>
        <v>11243077</v>
      </c>
      <c r="J14" s="37">
        <f>J15+J16+J20+J24+J25+J26+J29+J36</f>
        <v>53762346</v>
      </c>
      <c r="K14" s="37">
        <f>K15+K16+K20+K24+K25+K26+K29+K36</f>
        <v>12894254</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18757903</v>
      </c>
      <c r="I16" s="37">
        <f>SUM(I17:I19)</f>
        <v>2502719</v>
      </c>
      <c r="J16" s="37">
        <f>SUM(J17:J19)</f>
        <v>19658172</v>
      </c>
      <c r="K16" s="37">
        <f>SUM(K17:K19)</f>
        <v>3378408</v>
      </c>
    </row>
    <row r="17" spans="1:11" x14ac:dyDescent="0.2">
      <c r="A17" s="228" t="s">
        <v>128</v>
      </c>
      <c r="B17" s="228"/>
      <c r="C17" s="228"/>
      <c r="D17" s="228"/>
      <c r="E17" s="228"/>
      <c r="F17" s="228"/>
      <c r="G17" s="15">
        <v>134</v>
      </c>
      <c r="H17" s="33">
        <v>8153253</v>
      </c>
      <c r="I17" s="33">
        <v>1126992</v>
      </c>
      <c r="J17" s="33">
        <v>9057293</v>
      </c>
      <c r="K17" s="33">
        <f>9057293-7445448</f>
        <v>1611845</v>
      </c>
    </row>
    <row r="18" spans="1:11" x14ac:dyDescent="0.2">
      <c r="A18" s="228" t="s">
        <v>129</v>
      </c>
      <c r="B18" s="228"/>
      <c r="C18" s="228"/>
      <c r="D18" s="228"/>
      <c r="E18" s="228"/>
      <c r="F18" s="228"/>
      <c r="G18" s="15">
        <v>135</v>
      </c>
      <c r="H18" s="33">
        <v>95594</v>
      </c>
      <c r="I18" s="33">
        <v>3626</v>
      </c>
      <c r="J18" s="33">
        <v>112588</v>
      </c>
      <c r="K18" s="33">
        <f>112588-108880</f>
        <v>3708</v>
      </c>
    </row>
    <row r="19" spans="1:11" x14ac:dyDescent="0.2">
      <c r="A19" s="228" t="s">
        <v>130</v>
      </c>
      <c r="B19" s="228"/>
      <c r="C19" s="228"/>
      <c r="D19" s="228"/>
      <c r="E19" s="228"/>
      <c r="F19" s="228"/>
      <c r="G19" s="15">
        <v>136</v>
      </c>
      <c r="H19" s="33">
        <v>10509056</v>
      </c>
      <c r="I19" s="33">
        <v>1372101</v>
      </c>
      <c r="J19" s="33">
        <f>8268738+4236847-107246-338769-433618-44218-1093443</f>
        <v>10488291</v>
      </c>
      <c r="K19" s="33">
        <f>10488291-8725436</f>
        <v>1762855</v>
      </c>
    </row>
    <row r="20" spans="1:11" x14ac:dyDescent="0.2">
      <c r="A20" s="231" t="s">
        <v>131</v>
      </c>
      <c r="B20" s="231"/>
      <c r="C20" s="231"/>
      <c r="D20" s="231"/>
      <c r="E20" s="231"/>
      <c r="F20" s="231"/>
      <c r="G20" s="20">
        <v>137</v>
      </c>
      <c r="H20" s="37">
        <f>SUM(H21:H23)</f>
        <v>21932327</v>
      </c>
      <c r="I20" s="37">
        <f>SUM(I21:I23)</f>
        <v>5468790</v>
      </c>
      <c r="J20" s="37">
        <f>SUM(J21:J23)</f>
        <v>21295180</v>
      </c>
      <c r="K20" s="37">
        <f>SUM(K21:K23)</f>
        <v>5133683</v>
      </c>
    </row>
    <row r="21" spans="1:11" x14ac:dyDescent="0.2">
      <c r="A21" s="228" t="s">
        <v>109</v>
      </c>
      <c r="B21" s="228"/>
      <c r="C21" s="228"/>
      <c r="D21" s="228"/>
      <c r="E21" s="228"/>
      <c r="F21" s="228"/>
      <c r="G21" s="15">
        <v>138</v>
      </c>
      <c r="H21" s="33">
        <v>13098782</v>
      </c>
      <c r="I21" s="33">
        <v>3275501</v>
      </c>
      <c r="J21" s="33">
        <f>12792755-62498-127202+227155</f>
        <v>12830210</v>
      </c>
      <c r="K21" s="33">
        <f>12830210-9741877</f>
        <v>3088333</v>
      </c>
    </row>
    <row r="22" spans="1:11" x14ac:dyDescent="0.2">
      <c r="A22" s="228" t="s">
        <v>110</v>
      </c>
      <c r="B22" s="228"/>
      <c r="C22" s="228"/>
      <c r="D22" s="228"/>
      <c r="E22" s="228"/>
      <c r="F22" s="228"/>
      <c r="G22" s="15">
        <v>139</v>
      </c>
      <c r="H22" s="33">
        <v>5578067</v>
      </c>
      <c r="I22" s="33">
        <v>1372321</v>
      </c>
      <c r="J22" s="33">
        <v>5430997</v>
      </c>
      <c r="K22" s="33">
        <f>5430997-4113016</f>
        <v>1317981</v>
      </c>
    </row>
    <row r="23" spans="1:11" x14ac:dyDescent="0.2">
      <c r="A23" s="228" t="s">
        <v>111</v>
      </c>
      <c r="B23" s="228"/>
      <c r="C23" s="228"/>
      <c r="D23" s="228"/>
      <c r="E23" s="228"/>
      <c r="F23" s="228"/>
      <c r="G23" s="15">
        <v>140</v>
      </c>
      <c r="H23" s="33">
        <v>3255478</v>
      </c>
      <c r="I23" s="33">
        <v>820968</v>
      </c>
      <c r="J23" s="33">
        <v>3033973</v>
      </c>
      <c r="K23" s="33">
        <f>3033973-2306604</f>
        <v>727369</v>
      </c>
    </row>
    <row r="24" spans="1:11" x14ac:dyDescent="0.2">
      <c r="A24" s="186" t="s">
        <v>112</v>
      </c>
      <c r="B24" s="186"/>
      <c r="C24" s="186"/>
      <c r="D24" s="186"/>
      <c r="E24" s="186"/>
      <c r="F24" s="186"/>
      <c r="G24" s="15">
        <v>141</v>
      </c>
      <c r="H24" s="33">
        <v>3261779</v>
      </c>
      <c r="I24" s="33">
        <v>843132</v>
      </c>
      <c r="J24" s="33">
        <v>3668136</v>
      </c>
      <c r="K24" s="33">
        <f>3668136-2535145</f>
        <v>1132991</v>
      </c>
    </row>
    <row r="25" spans="1:11" x14ac:dyDescent="0.2">
      <c r="A25" s="186" t="s">
        <v>113</v>
      </c>
      <c r="B25" s="186"/>
      <c r="C25" s="186"/>
      <c r="D25" s="186"/>
      <c r="E25" s="186"/>
      <c r="F25" s="186"/>
      <c r="G25" s="15">
        <v>142</v>
      </c>
      <c r="H25" s="33">
        <f>4265502+2459965</f>
        <v>6725467</v>
      </c>
      <c r="I25" s="33">
        <f>1325731+163616</f>
        <v>1489347</v>
      </c>
      <c r="J25" s="33">
        <f>1774046+398459+107246+338769+433618+44218+1093443+3625340</f>
        <v>7815139</v>
      </c>
      <c r="K25" s="33">
        <f>4189799-2728719+3149944-3078456-142976</f>
        <v>1389592</v>
      </c>
    </row>
    <row r="26" spans="1:11" x14ac:dyDescent="0.2">
      <c r="A26" s="231" t="s">
        <v>132</v>
      </c>
      <c r="B26" s="231"/>
      <c r="C26" s="231"/>
      <c r="D26" s="231"/>
      <c r="E26" s="231"/>
      <c r="F26" s="231"/>
      <c r="G26" s="20">
        <v>143</v>
      </c>
      <c r="H26" s="37">
        <f>H27+H28</f>
        <v>105951</v>
      </c>
      <c r="I26" s="37">
        <f>I27+I28</f>
        <v>105951</v>
      </c>
      <c r="J26" s="37">
        <f>J27+J28</f>
        <v>38922</v>
      </c>
      <c r="K26" s="37">
        <f>K27+K28</f>
        <v>25899</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105951</v>
      </c>
      <c r="I28" s="33">
        <v>105951</v>
      </c>
      <c r="J28" s="33">
        <v>38922</v>
      </c>
      <c r="K28" s="33">
        <f>38922-13023</f>
        <v>25899</v>
      </c>
    </row>
    <row r="29" spans="1:11" x14ac:dyDescent="0.2">
      <c r="A29" s="231" t="s">
        <v>135</v>
      </c>
      <c r="B29" s="231"/>
      <c r="C29" s="231"/>
      <c r="D29" s="231"/>
      <c r="E29" s="231"/>
      <c r="F29" s="231"/>
      <c r="G29" s="20">
        <v>146</v>
      </c>
      <c r="H29" s="37">
        <f>SUM(H30:H35)</f>
        <v>383774</v>
      </c>
      <c r="I29" s="37">
        <f>SUM(I30:I35)</f>
        <v>383774</v>
      </c>
      <c r="J29" s="37">
        <f>SUM(J30:J35)</f>
        <v>861639</v>
      </c>
      <c r="K29" s="37">
        <f>SUM(K30:K35)</f>
        <v>861639</v>
      </c>
    </row>
    <row r="30" spans="1:11" x14ac:dyDescent="0.2">
      <c r="A30" s="228" t="s">
        <v>136</v>
      </c>
      <c r="B30" s="228"/>
      <c r="C30" s="228"/>
      <c r="D30" s="228"/>
      <c r="E30" s="228"/>
      <c r="F30" s="228"/>
      <c r="G30" s="15">
        <v>147</v>
      </c>
      <c r="H30" s="33">
        <v>383774</v>
      </c>
      <c r="I30" s="33">
        <v>383774</v>
      </c>
      <c r="J30" s="33">
        <f>909139-47500</f>
        <v>861639</v>
      </c>
      <c r="K30" s="33">
        <v>861639</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f>595254</f>
        <v>595254</v>
      </c>
      <c r="I36" s="33">
        <f>595254-145890</f>
        <v>449364</v>
      </c>
      <c r="J36" s="33">
        <f>4050498-3625340</f>
        <v>425158</v>
      </c>
      <c r="K36" s="33">
        <f>4050498-3078456</f>
        <v>972042</v>
      </c>
    </row>
    <row r="37" spans="1:11" x14ac:dyDescent="0.2">
      <c r="A37" s="222" t="s">
        <v>142</v>
      </c>
      <c r="B37" s="222"/>
      <c r="C37" s="222"/>
      <c r="D37" s="222"/>
      <c r="E37" s="222"/>
      <c r="F37" s="222"/>
      <c r="G37" s="20">
        <v>154</v>
      </c>
      <c r="H37" s="37">
        <f>SUM(H38:H47)</f>
        <v>871348</v>
      </c>
      <c r="I37" s="37">
        <f>SUM(I38:I47)</f>
        <v>88255</v>
      </c>
      <c r="J37" s="37">
        <f>SUM(J38:J47)</f>
        <v>151110</v>
      </c>
      <c r="K37" s="37">
        <f>SUM(K38:K47)</f>
        <v>38012</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2668</v>
      </c>
      <c r="I44" s="33">
        <f>2668-2648</f>
        <v>20</v>
      </c>
      <c r="J44" s="33">
        <v>1180</v>
      </c>
      <c r="K44" s="33">
        <f>1180-1166</f>
        <v>14</v>
      </c>
    </row>
    <row r="45" spans="1:11" x14ac:dyDescent="0.2">
      <c r="A45" s="186" t="s">
        <v>150</v>
      </c>
      <c r="B45" s="186"/>
      <c r="C45" s="186"/>
      <c r="D45" s="186"/>
      <c r="E45" s="186"/>
      <c r="F45" s="186"/>
      <c r="G45" s="15">
        <v>162</v>
      </c>
      <c r="H45" s="33">
        <v>745134</v>
      </c>
      <c r="I45" s="33">
        <f>745134-669648-14174</f>
        <v>61312</v>
      </c>
      <c r="J45" s="33">
        <v>954</v>
      </c>
      <c r="K45" s="33">
        <v>0</v>
      </c>
    </row>
    <row r="46" spans="1:11" x14ac:dyDescent="0.2">
      <c r="A46" s="186" t="s">
        <v>151</v>
      </c>
      <c r="B46" s="186"/>
      <c r="C46" s="186"/>
      <c r="D46" s="186"/>
      <c r="E46" s="186"/>
      <c r="F46" s="186"/>
      <c r="G46" s="15">
        <v>163</v>
      </c>
      <c r="H46" s="33">
        <v>15230</v>
      </c>
      <c r="I46" s="33">
        <f>15230-830</f>
        <v>14400</v>
      </c>
      <c r="J46" s="33">
        <v>20450</v>
      </c>
      <c r="K46" s="33">
        <f>20450-37</f>
        <v>20413</v>
      </c>
    </row>
    <row r="47" spans="1:11" x14ac:dyDescent="0.2">
      <c r="A47" s="186" t="s">
        <v>152</v>
      </c>
      <c r="B47" s="186"/>
      <c r="C47" s="186"/>
      <c r="D47" s="186"/>
      <c r="E47" s="186"/>
      <c r="F47" s="186"/>
      <c r="G47" s="15">
        <v>164</v>
      </c>
      <c r="H47" s="33">
        <v>108316</v>
      </c>
      <c r="I47" s="33">
        <f>108316-95793</f>
        <v>12523</v>
      </c>
      <c r="J47" s="33">
        <v>128526</v>
      </c>
      <c r="K47" s="33">
        <f>128526-110941</f>
        <v>17585</v>
      </c>
    </row>
    <row r="48" spans="1:11" x14ac:dyDescent="0.2">
      <c r="A48" s="222" t="s">
        <v>153</v>
      </c>
      <c r="B48" s="222"/>
      <c r="C48" s="222"/>
      <c r="D48" s="222"/>
      <c r="E48" s="222"/>
      <c r="F48" s="222"/>
      <c r="G48" s="20">
        <v>165</v>
      </c>
      <c r="H48" s="37">
        <f>SUM(H49:H55)</f>
        <v>1975235</v>
      </c>
      <c r="I48" s="37">
        <f>SUM(I49:I55)</f>
        <v>1644754</v>
      </c>
      <c r="J48" s="37">
        <f>SUM(J49:J55)</f>
        <v>1792398</v>
      </c>
      <c r="K48" s="37">
        <f>SUM(K49:K55)</f>
        <v>1612836</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1879807</v>
      </c>
      <c r="I51" s="33">
        <f>1879807-284424</f>
        <v>1595383</v>
      </c>
      <c r="J51" s="33">
        <v>1569162</v>
      </c>
      <c r="K51" s="33">
        <f>1569162-125823</f>
        <v>1443339</v>
      </c>
    </row>
    <row r="52" spans="1:11" x14ac:dyDescent="0.2">
      <c r="A52" s="223" t="s">
        <v>157</v>
      </c>
      <c r="B52" s="223"/>
      <c r="C52" s="223"/>
      <c r="D52" s="223"/>
      <c r="E52" s="223"/>
      <c r="F52" s="223"/>
      <c r="G52" s="15">
        <v>169</v>
      </c>
      <c r="H52" s="33">
        <v>22887</v>
      </c>
      <c r="I52" s="33">
        <f>22887-2519+515</f>
        <v>20883</v>
      </c>
      <c r="J52" s="33">
        <v>169497</v>
      </c>
      <c r="K52" s="33">
        <v>169497</v>
      </c>
    </row>
    <row r="53" spans="1:11" x14ac:dyDescent="0.2">
      <c r="A53" s="223" t="s">
        <v>158</v>
      </c>
      <c r="B53" s="223"/>
      <c r="C53" s="223"/>
      <c r="D53" s="223"/>
      <c r="E53" s="223"/>
      <c r="F53" s="223"/>
      <c r="G53" s="15">
        <v>170</v>
      </c>
      <c r="H53" s="33">
        <v>28488</v>
      </c>
      <c r="I53" s="33">
        <v>28488</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44053</v>
      </c>
      <c r="I55" s="33">
        <v>0</v>
      </c>
      <c r="J55" s="33">
        <v>53739</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57908440</v>
      </c>
      <c r="I60" s="37">
        <f t="shared" ref="I60:K60" si="0">I8+I37+I56+I57</f>
        <v>5473827</v>
      </c>
      <c r="J60" s="37">
        <f t="shared" si="0"/>
        <v>63583189</v>
      </c>
      <c r="K60" s="37">
        <f t="shared" si="0"/>
        <v>6959015</v>
      </c>
    </row>
    <row r="61" spans="1:11" x14ac:dyDescent="0.2">
      <c r="A61" s="222" t="s">
        <v>166</v>
      </c>
      <c r="B61" s="222"/>
      <c r="C61" s="222"/>
      <c r="D61" s="222"/>
      <c r="E61" s="222"/>
      <c r="F61" s="222"/>
      <c r="G61" s="20">
        <v>178</v>
      </c>
      <c r="H61" s="37">
        <f>H14+H48+H58+H59</f>
        <v>53737690</v>
      </c>
      <c r="I61" s="37">
        <f t="shared" ref="I61:K61" si="1">I14+I48+I58+I59</f>
        <v>12887831</v>
      </c>
      <c r="J61" s="37">
        <f t="shared" si="1"/>
        <v>55554744</v>
      </c>
      <c r="K61" s="37">
        <f t="shared" si="1"/>
        <v>14507090</v>
      </c>
    </row>
    <row r="62" spans="1:11" x14ac:dyDescent="0.2">
      <c r="A62" s="222" t="s">
        <v>167</v>
      </c>
      <c r="B62" s="222"/>
      <c r="C62" s="222"/>
      <c r="D62" s="222"/>
      <c r="E62" s="222"/>
      <c r="F62" s="222"/>
      <c r="G62" s="20">
        <v>179</v>
      </c>
      <c r="H62" s="37">
        <f>H60-H61</f>
        <v>4170750</v>
      </c>
      <c r="I62" s="37">
        <f t="shared" ref="I62:K62" si="2">I60-I61</f>
        <v>-7414004</v>
      </c>
      <c r="J62" s="37">
        <f t="shared" si="2"/>
        <v>8028445</v>
      </c>
      <c r="K62" s="37">
        <f t="shared" si="2"/>
        <v>-7548075</v>
      </c>
    </row>
    <row r="63" spans="1:11" x14ac:dyDescent="0.2">
      <c r="A63" s="209" t="s">
        <v>168</v>
      </c>
      <c r="B63" s="209"/>
      <c r="C63" s="209"/>
      <c r="D63" s="209"/>
      <c r="E63" s="209"/>
      <c r="F63" s="209"/>
      <c r="G63" s="20">
        <v>180</v>
      </c>
      <c r="H63" s="37">
        <f>+IF((H60-H61)&gt;0,(H60-H61),0)</f>
        <v>4170750</v>
      </c>
      <c r="I63" s="37">
        <f t="shared" ref="I63:K63" si="3">+IF((I60-I61)&gt;0,(I60-I61),0)</f>
        <v>0</v>
      </c>
      <c r="J63" s="37">
        <f t="shared" si="3"/>
        <v>8028445</v>
      </c>
      <c r="K63" s="37">
        <f t="shared" si="3"/>
        <v>0</v>
      </c>
    </row>
    <row r="64" spans="1:11" x14ac:dyDescent="0.2">
      <c r="A64" s="209" t="s">
        <v>169</v>
      </c>
      <c r="B64" s="209"/>
      <c r="C64" s="209"/>
      <c r="D64" s="209"/>
      <c r="E64" s="209"/>
      <c r="F64" s="209"/>
      <c r="G64" s="20">
        <v>181</v>
      </c>
      <c r="H64" s="37">
        <f>+IF((H60-H61)&lt;0,(H60-H61),0)</f>
        <v>0</v>
      </c>
      <c r="I64" s="37">
        <f t="shared" ref="I64:K64" si="4">+IF((I60-I61)&lt;0,(I60-I61),0)</f>
        <v>-7414004</v>
      </c>
      <c r="J64" s="37">
        <f t="shared" si="4"/>
        <v>0</v>
      </c>
      <c r="K64" s="37">
        <f t="shared" si="4"/>
        <v>-7548075</v>
      </c>
    </row>
    <row r="65" spans="1:11" x14ac:dyDescent="0.2">
      <c r="A65" s="224" t="s">
        <v>115</v>
      </c>
      <c r="B65" s="224"/>
      <c r="C65" s="224"/>
      <c r="D65" s="224"/>
      <c r="E65" s="224"/>
      <c r="F65" s="224"/>
      <c r="G65" s="15">
        <v>182</v>
      </c>
      <c r="H65" s="33">
        <v>1045974</v>
      </c>
      <c r="I65" s="33">
        <v>1045974</v>
      </c>
      <c r="J65" s="33">
        <v>1440000</v>
      </c>
      <c r="K65" s="33">
        <v>1440000</v>
      </c>
    </row>
    <row r="66" spans="1:11" x14ac:dyDescent="0.2">
      <c r="A66" s="222" t="s">
        <v>170</v>
      </c>
      <c r="B66" s="222"/>
      <c r="C66" s="222"/>
      <c r="D66" s="222"/>
      <c r="E66" s="222"/>
      <c r="F66" s="222"/>
      <c r="G66" s="20">
        <v>183</v>
      </c>
      <c r="H66" s="37">
        <f>H62-H65</f>
        <v>3124776</v>
      </c>
      <c r="I66" s="37">
        <f t="shared" ref="I66:K66" si="5">I62-I65</f>
        <v>-8459978</v>
      </c>
      <c r="J66" s="37">
        <f t="shared" si="5"/>
        <v>6588445</v>
      </c>
      <c r="K66" s="37">
        <f t="shared" si="5"/>
        <v>-8988075</v>
      </c>
    </row>
    <row r="67" spans="1:11" x14ac:dyDescent="0.2">
      <c r="A67" s="209" t="s">
        <v>171</v>
      </c>
      <c r="B67" s="209"/>
      <c r="C67" s="209"/>
      <c r="D67" s="209"/>
      <c r="E67" s="209"/>
      <c r="F67" s="209"/>
      <c r="G67" s="20">
        <v>184</v>
      </c>
      <c r="H67" s="37">
        <f>+IF((H62-H65)&gt;0,(H62-H65),0)</f>
        <v>3124776</v>
      </c>
      <c r="I67" s="37">
        <f t="shared" ref="I67:K67" si="6">+IF((I62-I65)&gt;0,(I62-I65),0)</f>
        <v>0</v>
      </c>
      <c r="J67" s="37">
        <f t="shared" si="6"/>
        <v>6588445</v>
      </c>
      <c r="K67" s="37">
        <f t="shared" si="6"/>
        <v>0</v>
      </c>
    </row>
    <row r="68" spans="1:11" x14ac:dyDescent="0.2">
      <c r="A68" s="209" t="s">
        <v>172</v>
      </c>
      <c r="B68" s="209"/>
      <c r="C68" s="209"/>
      <c r="D68" s="209"/>
      <c r="E68" s="209"/>
      <c r="F68" s="209"/>
      <c r="G68" s="20">
        <v>185</v>
      </c>
      <c r="H68" s="37">
        <f>+IF((H62-H65)&lt;0,(H62-H65),0)</f>
        <v>0</v>
      </c>
      <c r="I68" s="37">
        <f t="shared" ref="I68:K68" si="7">+IF((I62-I65)&lt;0,(I62-I65),0)</f>
        <v>-8459978</v>
      </c>
      <c r="J68" s="37">
        <f t="shared" si="7"/>
        <v>0</v>
      </c>
      <c r="K68" s="37">
        <f t="shared" si="7"/>
        <v>-8988075</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3124776</v>
      </c>
      <c r="I89" s="40">
        <v>-7414004</v>
      </c>
      <c r="J89" s="40">
        <v>6588445</v>
      </c>
      <c r="K89" s="40">
        <v>-7548075</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3124776</v>
      </c>
      <c r="I101" s="39">
        <f>I89+I100</f>
        <v>-7414004</v>
      </c>
      <c r="J101" s="39">
        <f>J89+J100</f>
        <v>6588445</v>
      </c>
      <c r="K101" s="39">
        <f>K89+K100</f>
        <v>-7548075</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 zoomScale="110" zoomScaleNormal="100" workbookViewId="0">
      <selection activeCell="I35" sqref="I3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449</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447</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0</v>
      </c>
      <c r="I8" s="43">
        <v>0</v>
      </c>
    </row>
    <row r="9" spans="1:9" ht="12.75" customHeight="1" x14ac:dyDescent="0.2">
      <c r="A9" s="247" t="s">
        <v>211</v>
      </c>
      <c r="B9" s="248"/>
      <c r="C9" s="248"/>
      <c r="D9" s="248"/>
      <c r="E9" s="248"/>
      <c r="F9" s="249"/>
      <c r="G9" s="25">
        <v>2</v>
      </c>
      <c r="H9" s="44">
        <f>H10+H11+H12+H13+H14+H15+H16+H17</f>
        <v>0</v>
      </c>
      <c r="I9" s="44">
        <f>I10+I11+I12+I13+I14+I15+I16+I17</f>
        <v>0</v>
      </c>
    </row>
    <row r="10" spans="1:9" ht="12.75" customHeight="1" x14ac:dyDescent="0.2">
      <c r="A10" s="239" t="s">
        <v>212</v>
      </c>
      <c r="B10" s="240"/>
      <c r="C10" s="240"/>
      <c r="D10" s="240"/>
      <c r="E10" s="240"/>
      <c r="F10" s="241"/>
      <c r="G10" s="26">
        <v>3</v>
      </c>
      <c r="H10" s="45">
        <v>0</v>
      </c>
      <c r="I10" s="45">
        <v>0</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0</v>
      </c>
      <c r="I13" s="45">
        <v>0</v>
      </c>
    </row>
    <row r="14" spans="1:9" ht="12.75" customHeight="1" x14ac:dyDescent="0.2">
      <c r="A14" s="239" t="s">
        <v>216</v>
      </c>
      <c r="B14" s="240"/>
      <c r="C14" s="240"/>
      <c r="D14" s="240"/>
      <c r="E14" s="240"/>
      <c r="F14" s="241"/>
      <c r="G14" s="26">
        <v>7</v>
      </c>
      <c r="H14" s="45">
        <v>0</v>
      </c>
      <c r="I14" s="45">
        <v>0</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0</v>
      </c>
      <c r="I18" s="44">
        <f>I8+I9</f>
        <v>0</v>
      </c>
    </row>
    <row r="19" spans="1:9" ht="12.75" customHeight="1" x14ac:dyDescent="0.2">
      <c r="A19" s="247" t="s">
        <v>220</v>
      </c>
      <c r="B19" s="248"/>
      <c r="C19" s="248"/>
      <c r="D19" s="248"/>
      <c r="E19" s="248"/>
      <c r="F19" s="249"/>
      <c r="G19" s="25">
        <v>12</v>
      </c>
      <c r="H19" s="44">
        <f>H20+H21+H22+H23</f>
        <v>0</v>
      </c>
      <c r="I19" s="44">
        <f>I20+I21+I22+I23</f>
        <v>0</v>
      </c>
    </row>
    <row r="20" spans="1:9" ht="12.75" customHeight="1" x14ac:dyDescent="0.2">
      <c r="A20" s="239" t="s">
        <v>221</v>
      </c>
      <c r="B20" s="240"/>
      <c r="C20" s="240"/>
      <c r="D20" s="240"/>
      <c r="E20" s="240"/>
      <c r="F20" s="241"/>
      <c r="G20" s="26">
        <v>13</v>
      </c>
      <c r="H20" s="45">
        <v>0</v>
      </c>
      <c r="I20" s="45">
        <v>0</v>
      </c>
    </row>
    <row r="21" spans="1:9" ht="12.75" customHeight="1" x14ac:dyDescent="0.2">
      <c r="A21" s="239" t="s">
        <v>222</v>
      </c>
      <c r="B21" s="240"/>
      <c r="C21" s="240"/>
      <c r="D21" s="240"/>
      <c r="E21" s="240"/>
      <c r="F21" s="241"/>
      <c r="G21" s="26">
        <v>14</v>
      </c>
      <c r="H21" s="45">
        <v>0</v>
      </c>
      <c r="I21" s="45">
        <v>0</v>
      </c>
    </row>
    <row r="22" spans="1:9" ht="12.75" customHeight="1" x14ac:dyDescent="0.2">
      <c r="A22" s="239" t="s">
        <v>223</v>
      </c>
      <c r="B22" s="240"/>
      <c r="C22" s="240"/>
      <c r="D22" s="240"/>
      <c r="E22" s="240"/>
      <c r="F22" s="241"/>
      <c r="G22" s="26">
        <v>15</v>
      </c>
      <c r="H22" s="45">
        <v>0</v>
      </c>
      <c r="I22" s="45">
        <v>0</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0</v>
      </c>
      <c r="I24" s="44">
        <f>I18+I19</f>
        <v>0</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0</v>
      </c>
      <c r="I27" s="46">
        <f>I24+I25+I26</f>
        <v>0</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0</v>
      </c>
      <c r="I31" s="48">
        <v>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35" t="s">
        <v>237</v>
      </c>
      <c r="B36" s="236"/>
      <c r="C36" s="236"/>
      <c r="D36" s="236"/>
      <c r="E36" s="236"/>
      <c r="F36" s="237"/>
      <c r="G36" s="26">
        <v>28</v>
      </c>
      <c r="H36" s="48">
        <v>0</v>
      </c>
      <c r="I36" s="48">
        <v>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0</v>
      </c>
      <c r="I41" s="49">
        <f>I36+I37+I38+I39+I40</f>
        <v>0</v>
      </c>
    </row>
    <row r="42" spans="1:9" ht="29.45" customHeight="1" x14ac:dyDescent="0.2">
      <c r="A42" s="262" t="s">
        <v>243</v>
      </c>
      <c r="B42" s="263"/>
      <c r="C42" s="263"/>
      <c r="D42" s="263"/>
      <c r="E42" s="263"/>
      <c r="F42" s="264"/>
      <c r="G42" s="27">
        <v>34</v>
      </c>
      <c r="H42" s="50">
        <f>H35+H41</f>
        <v>0</v>
      </c>
      <c r="I42" s="50">
        <f>I35+I41</f>
        <v>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0</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0</v>
      </c>
      <c r="I54" s="49">
        <f>I49+I50+I51+I52+I53</f>
        <v>0</v>
      </c>
    </row>
    <row r="55" spans="1:9" ht="29.45" customHeight="1" x14ac:dyDescent="0.2">
      <c r="A55" s="265" t="s">
        <v>255</v>
      </c>
      <c r="B55" s="266"/>
      <c r="C55" s="266"/>
      <c r="D55" s="266"/>
      <c r="E55" s="266"/>
      <c r="F55" s="267"/>
      <c r="G55" s="25">
        <v>46</v>
      </c>
      <c r="H55" s="49">
        <f>H48+H54</f>
        <v>0</v>
      </c>
      <c r="I55" s="49">
        <f>I48+I54</f>
        <v>0</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0</v>
      </c>
      <c r="I57" s="49">
        <f>I27+I42+I55+I56</f>
        <v>0</v>
      </c>
    </row>
    <row r="58" spans="1:9" x14ac:dyDescent="0.2">
      <c r="A58" s="268" t="s">
        <v>258</v>
      </c>
      <c r="B58" s="269"/>
      <c r="C58" s="269"/>
      <c r="D58" s="269"/>
      <c r="E58" s="269"/>
      <c r="F58" s="270"/>
      <c r="G58" s="26">
        <v>49</v>
      </c>
      <c r="H58" s="48">
        <v>0</v>
      </c>
      <c r="I58" s="48">
        <v>0</v>
      </c>
    </row>
    <row r="59" spans="1:9" ht="31.15" customHeight="1" x14ac:dyDescent="0.2">
      <c r="A59" s="262" t="s">
        <v>259</v>
      </c>
      <c r="B59" s="263"/>
      <c r="C59" s="263"/>
      <c r="D59" s="263"/>
      <c r="E59" s="263"/>
      <c r="F59" s="264"/>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3" zoomScale="110" zoomScaleNormal="100" workbookViewId="0">
      <selection activeCell="I27" sqref="I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448</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447</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67540545</v>
      </c>
      <c r="I8" s="52">
        <f>11062697+56289899+7525556+7861</f>
        <v>74886013</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120448</v>
      </c>
      <c r="I10" s="53">
        <v>154729</v>
      </c>
    </row>
    <row r="11" spans="1:9" x14ac:dyDescent="0.2">
      <c r="A11" s="272" t="s">
        <v>264</v>
      </c>
      <c r="B11" s="272"/>
      <c r="C11" s="272"/>
      <c r="D11" s="272"/>
      <c r="E11" s="272"/>
      <c r="F11" s="272"/>
      <c r="G11" s="30">
        <v>4</v>
      </c>
      <c r="H11" s="53">
        <v>265043</v>
      </c>
      <c r="I11" s="53">
        <v>188528</v>
      </c>
    </row>
    <row r="12" spans="1:9" x14ac:dyDescent="0.2">
      <c r="A12" s="272" t="s">
        <v>265</v>
      </c>
      <c r="B12" s="272"/>
      <c r="C12" s="272"/>
      <c r="D12" s="272"/>
      <c r="E12" s="272"/>
      <c r="F12" s="272"/>
      <c r="G12" s="30">
        <v>5</v>
      </c>
      <c r="H12" s="53">
        <v>-26734835</v>
      </c>
      <c r="I12" s="53">
        <f>-9368659-22968300-2380746+519412</f>
        <v>-34198293</v>
      </c>
    </row>
    <row r="13" spans="1:9" x14ac:dyDescent="0.2">
      <c r="A13" s="272" t="s">
        <v>266</v>
      </c>
      <c r="B13" s="272"/>
      <c r="C13" s="272"/>
      <c r="D13" s="272"/>
      <c r="E13" s="272"/>
      <c r="F13" s="272"/>
      <c r="G13" s="30">
        <v>6</v>
      </c>
      <c r="H13" s="53">
        <v>-24028922</v>
      </c>
      <c r="I13" s="53">
        <f>-22249924-698081-707774</f>
        <v>-23655779</v>
      </c>
    </row>
    <row r="14" spans="1:9" x14ac:dyDescent="0.2">
      <c r="A14" s="272" t="s">
        <v>267</v>
      </c>
      <c r="B14" s="272"/>
      <c r="C14" s="272"/>
      <c r="D14" s="272"/>
      <c r="E14" s="272"/>
      <c r="F14" s="272"/>
      <c r="G14" s="30">
        <v>7</v>
      </c>
      <c r="H14" s="53">
        <v>-476914</v>
      </c>
      <c r="I14" s="53">
        <v>-519412</v>
      </c>
    </row>
    <row r="15" spans="1:9" x14ac:dyDescent="0.2">
      <c r="A15" s="272" t="s">
        <v>268</v>
      </c>
      <c r="B15" s="272"/>
      <c r="C15" s="272"/>
      <c r="D15" s="272"/>
      <c r="E15" s="272"/>
      <c r="F15" s="272"/>
      <c r="G15" s="30">
        <v>8</v>
      </c>
      <c r="H15" s="53">
        <v>-6540371</v>
      </c>
      <c r="I15" s="53">
        <f>-8086012+1023749</f>
        <v>-7062263</v>
      </c>
    </row>
    <row r="16" spans="1:9" x14ac:dyDescent="0.2">
      <c r="A16" s="273" t="s">
        <v>269</v>
      </c>
      <c r="B16" s="273"/>
      <c r="C16" s="273"/>
      <c r="D16" s="273"/>
      <c r="E16" s="273"/>
      <c r="F16" s="273"/>
      <c r="G16" s="31">
        <v>9</v>
      </c>
      <c r="H16" s="54">
        <f>SUM(H8:H15)</f>
        <v>10144994</v>
      </c>
      <c r="I16" s="54">
        <f>SUM(I8:I15)</f>
        <v>9793523</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-1448455</v>
      </c>
      <c r="I18" s="53">
        <v>-1023749</v>
      </c>
    </row>
    <row r="19" spans="1:9" ht="27.6" customHeight="1" x14ac:dyDescent="0.2">
      <c r="A19" s="278" t="s">
        <v>272</v>
      </c>
      <c r="B19" s="278"/>
      <c r="C19" s="278"/>
      <c r="D19" s="278"/>
      <c r="E19" s="278"/>
      <c r="F19" s="278"/>
      <c r="G19" s="32">
        <v>12</v>
      </c>
      <c r="H19" s="55">
        <f>H16+H17+H18</f>
        <v>8696539</v>
      </c>
      <c r="I19" s="55">
        <f>I16+I17+I18</f>
        <v>8769774</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-1619088</v>
      </c>
      <c r="I28" s="53">
        <v>-1774125</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-3826329</v>
      </c>
      <c r="I32" s="53">
        <v>-2590225</v>
      </c>
    </row>
    <row r="33" spans="1:9" ht="25.9" customHeight="1" x14ac:dyDescent="0.2">
      <c r="A33" s="273" t="s">
        <v>285</v>
      </c>
      <c r="B33" s="273"/>
      <c r="C33" s="273"/>
      <c r="D33" s="273"/>
      <c r="E33" s="273"/>
      <c r="F33" s="273"/>
      <c r="G33" s="31">
        <v>25</v>
      </c>
      <c r="H33" s="54">
        <f>SUM(H28:H32)</f>
        <v>-5445417</v>
      </c>
      <c r="I33" s="54">
        <f>SUM(I28:I32)</f>
        <v>-4364350</v>
      </c>
    </row>
    <row r="34" spans="1:9" ht="28.15" customHeight="1" x14ac:dyDescent="0.2">
      <c r="A34" s="278" t="s">
        <v>286</v>
      </c>
      <c r="B34" s="278"/>
      <c r="C34" s="278"/>
      <c r="D34" s="278"/>
      <c r="E34" s="278"/>
      <c r="F34" s="278"/>
      <c r="G34" s="32">
        <v>26</v>
      </c>
      <c r="H34" s="55">
        <f>H27+H33</f>
        <v>-5445417</v>
      </c>
      <c r="I34" s="55">
        <f>I27+I33</f>
        <v>-4364350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8000000</v>
      </c>
      <c r="I38" s="53">
        <v>4000000</v>
      </c>
    </row>
    <row r="39" spans="1:9" x14ac:dyDescent="0.2">
      <c r="A39" s="271" t="s">
        <v>290</v>
      </c>
      <c r="B39" s="271"/>
      <c r="C39" s="271"/>
      <c r="D39" s="271"/>
      <c r="E39" s="271"/>
      <c r="F39" s="271"/>
      <c r="G39" s="30">
        <v>30</v>
      </c>
      <c r="H39" s="53">
        <v>113256</v>
      </c>
      <c r="I39" s="53">
        <f>106+177394</f>
        <v>177500</v>
      </c>
    </row>
    <row r="40" spans="1:9" ht="25.9" customHeight="1" x14ac:dyDescent="0.2">
      <c r="A40" s="273" t="s">
        <v>291</v>
      </c>
      <c r="B40" s="273"/>
      <c r="C40" s="273"/>
      <c r="D40" s="273"/>
      <c r="E40" s="273"/>
      <c r="F40" s="273"/>
      <c r="G40" s="31">
        <v>31</v>
      </c>
      <c r="H40" s="54">
        <f>H39+H38+H37+H36</f>
        <v>8113256</v>
      </c>
      <c r="I40" s="54">
        <f>I39+I38+I37+I36</f>
        <v>4177500</v>
      </c>
    </row>
    <row r="41" spans="1:9" ht="24.6" customHeight="1" x14ac:dyDescent="0.2">
      <c r="A41" s="271" t="s">
        <v>292</v>
      </c>
      <c r="B41" s="271"/>
      <c r="C41" s="271"/>
      <c r="D41" s="271"/>
      <c r="E41" s="271"/>
      <c r="F41" s="271"/>
      <c r="G41" s="30">
        <v>32</v>
      </c>
      <c r="H41" s="53">
        <v>-7981320</v>
      </c>
      <c r="I41" s="53">
        <v>-5963737</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-267839</v>
      </c>
      <c r="I45" s="53">
        <v>0</v>
      </c>
    </row>
    <row r="46" spans="1:9" ht="22.9" customHeight="1" x14ac:dyDescent="0.2">
      <c r="A46" s="273" t="s">
        <v>297</v>
      </c>
      <c r="B46" s="273"/>
      <c r="C46" s="273"/>
      <c r="D46" s="273"/>
      <c r="E46" s="273"/>
      <c r="F46" s="273"/>
      <c r="G46" s="31">
        <v>37</v>
      </c>
      <c r="H46" s="54">
        <f>H45+H44+H43+H42+H41</f>
        <v>-8249159</v>
      </c>
      <c r="I46" s="54">
        <f>I45+I44+I43+I42+I41</f>
        <v>-5963737</v>
      </c>
    </row>
    <row r="47" spans="1:9" ht="25.9" customHeight="1" x14ac:dyDescent="0.2">
      <c r="A47" s="282" t="s">
        <v>298</v>
      </c>
      <c r="B47" s="282"/>
      <c r="C47" s="282"/>
      <c r="D47" s="282"/>
      <c r="E47" s="282"/>
      <c r="F47" s="282"/>
      <c r="G47" s="31">
        <v>38</v>
      </c>
      <c r="H47" s="54">
        <f>H46+H40</f>
        <v>-135903</v>
      </c>
      <c r="I47" s="54">
        <f>I46+I40</f>
        <v>-1786237</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3115219</v>
      </c>
      <c r="I49" s="54">
        <f>I19+I34+I47+I48</f>
        <v>2619187</v>
      </c>
    </row>
    <row r="50" spans="1:9" x14ac:dyDescent="0.2">
      <c r="A50" s="283" t="s">
        <v>258</v>
      </c>
      <c r="B50" s="283"/>
      <c r="C50" s="283"/>
      <c r="D50" s="283"/>
      <c r="E50" s="283"/>
      <c r="F50" s="283"/>
      <c r="G50" s="30">
        <v>41</v>
      </c>
      <c r="H50" s="53">
        <v>4573993</v>
      </c>
      <c r="I50" s="53">
        <v>7689212</v>
      </c>
    </row>
    <row r="51" spans="1:9" ht="31.9" customHeight="1" x14ac:dyDescent="0.2">
      <c r="A51" s="278" t="s">
        <v>301</v>
      </c>
      <c r="B51" s="278"/>
      <c r="C51" s="278"/>
      <c r="D51" s="278"/>
      <c r="E51" s="278"/>
      <c r="F51" s="278"/>
      <c r="G51" s="32">
        <v>42</v>
      </c>
      <c r="H51" s="55">
        <f>H50+H49</f>
        <v>7689212</v>
      </c>
      <c r="I51" s="55">
        <f>I50+I49</f>
        <v>10308399</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8" zoomScale="110" zoomScaleNormal="100" zoomScaleSheetLayoutView="110" workbookViewId="0">
      <selection activeCell="A13" sqref="A13:F13"/>
    </sheetView>
  </sheetViews>
  <sheetFormatPr defaultRowHeight="12.75" x14ac:dyDescent="0.2"/>
  <cols>
    <col min="1" max="4" width="9.140625" style="1"/>
    <col min="5" max="5" width="10.8554687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43830</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103144000</v>
      </c>
      <c r="I7" s="65">
        <v>0</v>
      </c>
      <c r="J7" s="65">
        <v>216263</v>
      </c>
      <c r="K7" s="65">
        <v>0</v>
      </c>
      <c r="L7" s="65">
        <v>0</v>
      </c>
      <c r="M7" s="65">
        <v>0</v>
      </c>
      <c r="N7" s="65">
        <v>0</v>
      </c>
      <c r="O7" s="65">
        <v>0</v>
      </c>
      <c r="P7" s="65">
        <v>0</v>
      </c>
      <c r="Q7" s="65">
        <v>0</v>
      </c>
      <c r="R7" s="65">
        <v>0</v>
      </c>
      <c r="S7" s="65">
        <v>-72224950</v>
      </c>
      <c r="T7" s="65">
        <v>0</v>
      </c>
      <c r="U7" s="66">
        <f>H7+I7+J7+K7-L7+M7+N7+O7+P7+Q7+R7+S7+T7</f>
        <v>31135313</v>
      </c>
      <c r="V7" s="65">
        <v>0</v>
      </c>
      <c r="W7" s="66">
        <f>U7+V7</f>
        <v>31135313</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103144000</v>
      </c>
      <c r="I10" s="66">
        <f t="shared" ref="I10:W10" si="2">I7+I8+I9</f>
        <v>0</v>
      </c>
      <c r="J10" s="66">
        <f t="shared" si="2"/>
        <v>216263</v>
      </c>
      <c r="K10" s="66">
        <f>K7+K8+K9</f>
        <v>0</v>
      </c>
      <c r="L10" s="66">
        <f t="shared" si="2"/>
        <v>0</v>
      </c>
      <c r="M10" s="66">
        <f t="shared" si="2"/>
        <v>0</v>
      </c>
      <c r="N10" s="66">
        <f t="shared" si="2"/>
        <v>0</v>
      </c>
      <c r="O10" s="66">
        <f t="shared" si="2"/>
        <v>0</v>
      </c>
      <c r="P10" s="66">
        <f t="shared" si="2"/>
        <v>0</v>
      </c>
      <c r="Q10" s="66">
        <f t="shared" si="2"/>
        <v>0</v>
      </c>
      <c r="R10" s="66">
        <f t="shared" si="2"/>
        <v>0</v>
      </c>
      <c r="S10" s="66">
        <f t="shared" si="2"/>
        <v>-72224950</v>
      </c>
      <c r="T10" s="66">
        <f t="shared" si="2"/>
        <v>0</v>
      </c>
      <c r="U10" s="66">
        <f t="shared" si="2"/>
        <v>31135313</v>
      </c>
      <c r="V10" s="66">
        <f t="shared" si="2"/>
        <v>0</v>
      </c>
      <c r="W10" s="66">
        <f t="shared" si="2"/>
        <v>31135313</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3124776</v>
      </c>
      <c r="U11" s="66">
        <f>H11+I11+J11+K11-L11+M11+N11+O11+P11+Q11+R11+S11+T11</f>
        <v>3124776</v>
      </c>
      <c r="V11" s="65">
        <v>0</v>
      </c>
      <c r="W11" s="66">
        <f t="shared" ref="W11:W28" si="3">U11+V11</f>
        <v>3124776</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103144000</v>
      </c>
      <c r="I29" s="68">
        <f t="shared" ref="I29:W29" si="5">SUM(I10:I28)</f>
        <v>0</v>
      </c>
      <c r="J29" s="68">
        <f t="shared" si="5"/>
        <v>216263</v>
      </c>
      <c r="K29" s="68">
        <f t="shared" si="5"/>
        <v>0</v>
      </c>
      <c r="L29" s="68">
        <f t="shared" si="5"/>
        <v>0</v>
      </c>
      <c r="M29" s="68">
        <f t="shared" si="5"/>
        <v>0</v>
      </c>
      <c r="N29" s="68">
        <f t="shared" si="5"/>
        <v>0</v>
      </c>
      <c r="O29" s="68">
        <f t="shared" si="5"/>
        <v>0</v>
      </c>
      <c r="P29" s="68">
        <f t="shared" si="5"/>
        <v>0</v>
      </c>
      <c r="Q29" s="68">
        <f t="shared" si="5"/>
        <v>0</v>
      </c>
      <c r="R29" s="68">
        <f t="shared" si="5"/>
        <v>0</v>
      </c>
      <c r="S29" s="68">
        <f t="shared" si="5"/>
        <v>-72224950</v>
      </c>
      <c r="T29" s="68">
        <f t="shared" si="5"/>
        <v>3124776</v>
      </c>
      <c r="U29" s="68">
        <f t="shared" si="5"/>
        <v>34260089</v>
      </c>
      <c r="V29" s="68">
        <f t="shared" si="5"/>
        <v>0</v>
      </c>
      <c r="W29" s="68">
        <f t="shared" si="5"/>
        <v>34260089</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3124776</v>
      </c>
      <c r="U32" s="66">
        <f t="shared" si="7"/>
        <v>3124776</v>
      </c>
      <c r="V32" s="66">
        <f t="shared" si="7"/>
        <v>0</v>
      </c>
      <c r="W32" s="66">
        <f t="shared" si="7"/>
        <v>3124776</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103144000</v>
      </c>
      <c r="I35" s="65">
        <v>0</v>
      </c>
      <c r="J35" s="65">
        <v>216263</v>
      </c>
      <c r="K35" s="65">
        <v>0</v>
      </c>
      <c r="L35" s="65">
        <v>0</v>
      </c>
      <c r="M35" s="65">
        <v>0</v>
      </c>
      <c r="N35" s="65">
        <v>0</v>
      </c>
      <c r="O35" s="65">
        <v>0</v>
      </c>
      <c r="P35" s="65">
        <v>0</v>
      </c>
      <c r="Q35" s="65">
        <v>0</v>
      </c>
      <c r="R35" s="65">
        <v>0</v>
      </c>
      <c r="S35" s="65">
        <f>-72224950+3124776</f>
        <v>-69100174</v>
      </c>
      <c r="T35" s="65">
        <v>0</v>
      </c>
      <c r="U35" s="69">
        <f t="shared" ref="U35:U37" si="9">H35+I35+J35+K35-L35+M35+N35+O35+P35+Q35+R35+S35+T35</f>
        <v>34260089</v>
      </c>
      <c r="V35" s="65">
        <v>0</v>
      </c>
      <c r="W35" s="69">
        <f t="shared" ref="W35:W37" si="10">U35+V35</f>
        <v>34260089</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103144000</v>
      </c>
      <c r="I38" s="69">
        <f t="shared" ref="I38:W38" si="11">I35+I36+I37</f>
        <v>0</v>
      </c>
      <c r="J38" s="69">
        <f t="shared" si="11"/>
        <v>216263</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-69100174</v>
      </c>
      <c r="T38" s="69">
        <f t="shared" si="11"/>
        <v>0</v>
      </c>
      <c r="U38" s="69">
        <f t="shared" si="11"/>
        <v>34260089</v>
      </c>
      <c r="V38" s="69">
        <f t="shared" si="11"/>
        <v>0</v>
      </c>
      <c r="W38" s="69">
        <f t="shared" si="11"/>
        <v>34260089</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8028445</v>
      </c>
      <c r="U39" s="69">
        <f t="shared" ref="U39:U56" si="12">H39+I39+J39+K39-L39+M39+N39+O39+P39+Q39+R39+S39+T39</f>
        <v>8028445</v>
      </c>
      <c r="V39" s="65">
        <v>0</v>
      </c>
      <c r="W39" s="69">
        <f t="shared" ref="W39:W56" si="13">U39+V39</f>
        <v>8028445</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103144000</v>
      </c>
      <c r="I57" s="70">
        <f t="shared" ref="I57:W57" si="14">SUM(I38:I56)</f>
        <v>0</v>
      </c>
      <c r="J57" s="70">
        <f t="shared" si="14"/>
        <v>216263</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-69100174</v>
      </c>
      <c r="T57" s="70">
        <f t="shared" si="14"/>
        <v>8028445</v>
      </c>
      <c r="U57" s="70">
        <f t="shared" si="14"/>
        <v>42288534</v>
      </c>
      <c r="V57" s="70">
        <f t="shared" si="14"/>
        <v>0</v>
      </c>
      <c r="W57" s="70">
        <f t="shared" si="14"/>
        <v>42288534</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8028445</v>
      </c>
      <c r="U60" s="69">
        <f t="shared" si="16"/>
        <v>8028445</v>
      </c>
      <c r="V60" s="69">
        <f t="shared" si="16"/>
        <v>0</v>
      </c>
      <c r="W60" s="69">
        <f t="shared" si="16"/>
        <v>8028445</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Zuanic</cp:lastModifiedBy>
  <cp:lastPrinted>2020-02-24T14:12:31Z</cp:lastPrinted>
  <dcterms:created xsi:type="dcterms:W3CDTF">2008-10-17T11:51:54Z</dcterms:created>
  <dcterms:modified xsi:type="dcterms:W3CDTF">2020-02-27T12:23:03Z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