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485" activeTab="2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<sst xmlns="http://schemas.openxmlformats.org/spreadsheetml/2006/main" count="329" uniqueCount="305">
  <si>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</si>
  <si>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</si>
  <si>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</si>
  <si>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</si>
  <si>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</si>
  <si>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</si>
  <si>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</si>
  <si>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</si>
  <si>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</si>
  <si>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</si>
  <si>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</si>
  <si>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</si>
  <si>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</si>
  <si>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</si>
  <si>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</si>
  <si>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</si>
  <si>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</si>
  <si>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</si>
  <si>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</si>
  <si>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</si>
  <si>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</si>
  <si>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</si>
  <si>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</si>
  <si>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</si>
  <si>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</si>
  <si>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</si>
  <si>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</si>
  <si>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</si>
  <si>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</si>
  <si>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</si>
  <si>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</si>
  <si>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</si>
  <si>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</si>
  <si>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</si>
  <si>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</si>
  <si>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</si>
  <si>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</si>
  <si>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</si>
  <si>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</si>
  <si>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</si>
  <si>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</si>
  <si>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</si>
  <si>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</si>
  <si>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</si>
  <si>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</si>
  <si>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</si>
  <si>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</si>
  <si>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</si>
  <si>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</si>
  <si>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</si>
  <si>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</si>
  <si>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</si>
  <si>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</si>
  <si>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</si>
  <si>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</si>
  <si>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</si>
  <si>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</si>
  <si>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</si>
  <si>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</si>
  <si>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</si>
  <si>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</si>
  <si>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</si>
  <si>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</si>
  <si>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</si>
  <si>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</si>
  <si>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</si>
  <si>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</si>
  <si>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</si>
  <si>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</si>
  <si>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</si>
  <si>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</si>
  <si>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</si>
  <si>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</si>
  <si>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</si>
  <si>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</si>
  <si>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</si>
  <si>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</si>
  <si>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</si>
  <si>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</si>
  <si>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</si>
  <si>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</si>
  <si>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</si>
  <si>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</si>
  <si>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</si>
  <si>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</si>
  <si>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</si>
  <si>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</si>
  <si>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</si>
  <si>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</si>
  <si>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</si>
  <si>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</si>
  <si>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</si>
  <si>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</si>
  <si>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</si>
  <si>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</si>
  <si>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</si>
  <si>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</si>
  <si>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</si>
  <si>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</si>
  <si>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</si>
  <si>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</si>
  <si>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</si>
  <si>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</si>
  <si>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</si>
  <si>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</si>
  <si>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</si>
  <si>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</si>
  <si>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</si>
  <si>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</si>
  <si>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</si>
  <si>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</si>
  <si>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</si>
  <si>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</si>
  <si>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</si>
  <si>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</si>
  <si>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</si>
  <si>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</si>
  <si>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</si>
  <si>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</si>
  <si>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</si>
  <si>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</si>
  <si>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</si>
  <si>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</si>
  <si>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</si>
  <si>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</si>
  <si>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</si>
  <si>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</si>
  <si>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</si>
  <si>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</si>
  <si>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</si>
  <si>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</si>
  <si>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</si>
  <si>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</si>
  <si>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</si>
  <si>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</si>
  <si>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</si>
  <si>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</si>
  <si>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</si>
  <si>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</si>
  <si>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</si>
  <si>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</si>
  <si>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</si>
  <si>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</si>
  <si>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</si>
  <si>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</si>
  <si>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</si>
  <si>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</si>
  <si>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</si>
  <si>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</si>
  <si>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</si>
  <si>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</si>
  <si>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</si>
  <si>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</si>
  <si>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</si>
  <si>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</si>
  <si>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</si>
  <si>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</si>
  <si>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</si>
  <si>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</si>
  <si>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</si>
  <si>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</si>
  <si>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</si>
  <si>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</si>
  <si>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</si>
  <si>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</si>
  <si>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</si>
  <si>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</si>
  <si>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</si>
  <si>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</si>
  <si>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</si>
  <si>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</si>
  <si>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</si>
  <si>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</si>
  <si>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</si>
  <si>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</si>
  <si>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</si>
  <si>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</si>
  <si>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</si>
  <si>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</si>
  <si>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</si>
  <si>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</si>
  <si>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</si>
  <si>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</si>
  <si>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</si>
  <si>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</si>
  <si>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</si>
  <si>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</si>
  <si>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</si>
  <si>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</si>
  <si>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</si>
  <si>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</si>
  <si>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</si>
  <si>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</si>
  <si>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</si>
  <si>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</si>
  <si>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</si>
  <si>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</si>
  <si>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</si>
  <si>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</si>
  <si>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</si>
  <si>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</si>
  <si>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</si>
  <si>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</si>
  <si>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</si>
  <si>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</si>
  <si>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</si>
  <si>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</si>
  <si>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</si>
  <si>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</si>
  <si>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</si>
  <si>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</si>
  <si>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</si>
  <si>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</si>
  <si>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</si>
  <si>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</si>
  <si>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</si>
  <si>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</si>
  <si>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</si>
  <si>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</si>
  <si>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</si>
  <si>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</si>
  <si>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</si>
  <si>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</si>
  <si>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</si>
  <si>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</si>
  <si>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</si>
  <si>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</si>
  <si>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</si>
  <si>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</si>
  <si>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</si>
  <si>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</si>
  <si>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</si>
  <si>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</si>
  <si>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</si>
  <si>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</si>
  <si>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</si>
  <si>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</si>
  <si>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</si>
  <si>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</si>
  <si>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</si>
  <si>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</si>
  <si>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</si>
  <si>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</si>
  <si>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</si>
  <si>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</si>
  <si>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</si>
  <si>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</si>
  <si>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</si>
  <si>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</si>
  <si>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</si>
  <si>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</si>
  <si>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</si>
  <si>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</si>
  <si>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</si>
  <si>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</si>
  <si>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</si>
  <si>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</si>
  <si>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</si>
  <si>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</si>
  <si>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</si>
  <si>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</si>
  <si>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</si>
  <si>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</si>
  <si>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</si>
  <si>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</si>
  <si>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</si>
  <si>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</si>
  <si>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</si>
  <si>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</si>
  <si>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</si>
  <si>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</si>
  <si>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</si>
  <si>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</si>
  <si>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</si>
  <si>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</si>
  <si>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</si>
  <si>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</si>
  <si>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</si>
  <si>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</si>
  <si>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</si>
  <si>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</t>
  </si>
  <si>
    <t>31.12.2017.</t>
  </si>
  <si>
    <t>03440885</t>
  </si>
  <si>
    <t>060008247</t>
  </si>
  <si>
    <t>88557173997</t>
  </si>
  <si>
    <t>HOTELI MAESTRAL d.d.</t>
  </si>
  <si>
    <t>DUBROVNIK</t>
  </si>
  <si>
    <t>Ćira Carića 3</t>
  </si>
  <si>
    <t>hotelimestralhotelimaestral.com</t>
  </si>
  <si>
    <t>www.hotelimaestral.com</t>
  </si>
  <si>
    <t>DUBROVAČKO-NERETVANSKA</t>
  </si>
  <si>
    <t>NE</t>
  </si>
  <si>
    <t>5510</t>
  </si>
  <si>
    <t>Zuanić Marijana</t>
  </si>
  <si>
    <t>020/433-600</t>
  </si>
  <si>
    <t>020/435-656</t>
  </si>
  <si>
    <t>hotelimaestralhotelimaestral.com</t>
  </si>
  <si>
    <t>Srgota Julijo</t>
  </si>
  <si>
    <t>stanje na dan 31.12.2017.</t>
  </si>
  <si>
    <t>Obveznik:  HOTELI MAESTRAL d.d.</t>
  </si>
  <si>
    <t>u razdoblju 01.01.2017. do 31.12.2017.</t>
  </si>
  <si>
    <t>Obveznik: HOTELI MAESTRAL d.d.</t>
  </si>
  <si>
    <t>za razdoblje od 1.1.2017. - 31.12.2017.</t>
  </si>
  <si>
    <t xml:space="preserve">     1. Kamate, tečajne razlike i sl. iz odnosa s pov. poduzetnicima
         </t>
  </si>
  <si>
    <t xml:space="preserve">     1. Kamate, tečajne razlike i sl. iz odnosa s ne pov. poduzetnicima
        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</si>
</sst>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 Rounded MT Bold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sz val="12"/>
      <color rgb="FF002060"/>
      <name val="Arial Rounded MT Bold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Font="1" applyAlignment="1" applyProtection="1">
      <alignment horizontal="right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3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5" fillId="0" borderId="0" xfId="58" applyFont="1" applyBorder="1" applyAlignment="1" applyProtection="1">
      <alignment vertical="center"/>
      <protection hidden="1"/>
    </xf>
    <xf numFmtId="0" fontId="15" fillId="0" borderId="0" xfId="57" applyFont="1" applyBorder="1" applyAlignment="1" applyProtection="1">
      <alignment vertical="center"/>
      <protection hidden="1"/>
    </xf>
    <xf numFmtId="0" fontId="15" fillId="0" borderId="0" xfId="58" applyFont="1" applyBorder="1" applyAlignment="1" applyProtection="1">
      <alignment/>
      <protection hidden="1"/>
    </xf>
    <xf numFmtId="0" fontId="11" fillId="0" borderId="0" xfId="58" applyAlignment="1">
      <alignment/>
      <protection/>
    </xf>
    <xf numFmtId="0" fontId="15" fillId="0" borderId="0" xfId="58" applyFont="1" applyAlignment="1" applyProtection="1">
      <alignment/>
      <protection hidden="1"/>
    </xf>
    <xf numFmtId="0" fontId="56" fillId="0" borderId="26" xfId="63" applyFont="1" applyFill="1" applyBorder="1" applyAlignment="1" applyProtection="1">
      <alignment horizontal="center"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63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57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6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27" xfId="63" applyFont="1" applyFill="1" applyBorder="1" applyAlignment="1" applyProtection="1">
      <alignment horizontal="left" vertical="center"/>
      <protection hidden="1" locked="0"/>
    </xf>
    <xf numFmtId="0" fontId="3" fillId="0" borderId="26" xfId="63" applyFont="1" applyBorder="1" applyAlignment="1">
      <alignment horizontal="left" vertical="center"/>
      <protection/>
    </xf>
    <xf numFmtId="0" fontId="3" fillId="0" borderId="28" xfId="63" applyFont="1" applyBorder="1" applyAlignment="1">
      <alignment horizontal="left" vertical="center"/>
      <protection/>
    </xf>
    <xf numFmtId="0" fontId="14" fillId="33" borderId="27" xfId="53" applyFont="1" applyFill="1" applyBorder="1" applyAlignment="1" applyProtection="1">
      <alignment/>
      <protection hidden="1" locked="0"/>
    </xf>
    <xf numFmtId="0" fontId="2" fillId="0" borderId="26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26" xfId="63" applyFont="1" applyBorder="1" applyAlignment="1">
      <alignment horizontal="left"/>
      <protection/>
    </xf>
    <xf numFmtId="0" fontId="3" fillId="0" borderId="28" xfId="63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6" xfId="63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49" fontId="2" fillId="33" borderId="27" xfId="6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3" applyNumberFormat="1" applyFont="1" applyBorder="1" applyAlignment="1" applyProtection="1">
      <alignment horizontal="left" vertical="center"/>
      <protection hidden="1" locked="0"/>
    </xf>
    <xf numFmtId="0" fontId="12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14" fillId="33" borderId="27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5" fillId="0" borderId="0" xfId="57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26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56" fillId="0" borderId="0" xfId="0" applyFont="1" applyFill="1" applyBorder="1" applyAlignment="1" applyProtection="1">
      <alignment horizontal="center" vertical="top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0" fillId="0" borderId="40" xfId="0" applyFont="1" applyBorder="1" applyAlignment="1">
      <alignment/>
    </xf>
    <xf numFmtId="0" fontId="0" fillId="0" borderId="42" xfId="0" applyFont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56" fillId="0" borderId="0" xfId="63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58" fillId="0" borderId="0" xfId="63" applyFont="1" applyFill="1" applyBorder="1" applyAlignment="1">
      <alignment horizontal="center" vertical="center" wrapText="1"/>
      <protection/>
    </xf>
    <xf numFmtId="0" fontId="59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58</xdr:row>
      <xdr:rowOff>142875</xdr:rowOff>
    </xdr:from>
    <xdr:to>
      <xdr:col>8</xdr:col>
      <xdr:colOff>266700</xdr:colOff>
      <xdr:row>62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9601200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imaestra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215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14" t="s">
        <v>216</v>
      </c>
      <c r="B2" s="114"/>
      <c r="C2" s="114"/>
      <c r="D2" s="115"/>
      <c r="E2" s="24" t="s">
        <v>280</v>
      </c>
      <c r="F2" s="25"/>
      <c r="G2" s="26" t="s">
        <v>217</v>
      </c>
      <c r="H2" s="24" t="s">
        <v>281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16" t="s">
        <v>218</v>
      </c>
      <c r="B4" s="116"/>
      <c r="C4" s="116"/>
      <c r="D4" s="116"/>
      <c r="E4" s="116"/>
      <c r="F4" s="116"/>
      <c r="G4" s="116"/>
      <c r="H4" s="116"/>
      <c r="I4" s="11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17" t="s">
        <v>219</v>
      </c>
      <c r="B6" s="118"/>
      <c r="C6" s="119" t="s">
        <v>282</v>
      </c>
      <c r="D6" s="120"/>
      <c r="E6" s="121"/>
      <c r="F6" s="121"/>
      <c r="G6" s="121"/>
      <c r="H6" s="121"/>
      <c r="I6" s="39"/>
      <c r="J6" s="22"/>
      <c r="K6" s="22"/>
      <c r="L6" s="22"/>
    </row>
    <row r="7" spans="1:12" ht="12.75">
      <c r="A7" s="40"/>
      <c r="B7" s="40"/>
      <c r="C7" s="31"/>
      <c r="D7" s="31"/>
      <c r="E7" s="121"/>
      <c r="F7" s="121"/>
      <c r="G7" s="121"/>
      <c r="H7" s="121"/>
      <c r="I7" s="39"/>
      <c r="J7" s="22"/>
      <c r="K7" s="22"/>
      <c r="L7" s="22"/>
    </row>
    <row r="8" spans="1:12" ht="12.75">
      <c r="A8" s="122" t="s">
        <v>220</v>
      </c>
      <c r="B8" s="123"/>
      <c r="C8" s="112" t="s">
        <v>283</v>
      </c>
      <c r="D8" s="113"/>
      <c r="E8" s="121"/>
      <c r="F8" s="121"/>
      <c r="G8" s="121"/>
      <c r="H8" s="12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09" t="s">
        <v>221</v>
      </c>
      <c r="B10" s="110"/>
      <c r="C10" s="112" t="s">
        <v>284</v>
      </c>
      <c r="D10" s="11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11"/>
      <c r="B11" s="11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17" t="s">
        <v>222</v>
      </c>
      <c r="B12" s="118"/>
      <c r="C12" s="124" t="s">
        <v>285</v>
      </c>
      <c r="D12" s="129"/>
      <c r="E12" s="129"/>
      <c r="F12" s="129"/>
      <c r="G12" s="129"/>
      <c r="H12" s="129"/>
      <c r="I12" s="13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17" t="s">
        <v>223</v>
      </c>
      <c r="B14" s="118"/>
      <c r="C14" s="131">
        <v>20000</v>
      </c>
      <c r="D14" s="132"/>
      <c r="E14" s="31"/>
      <c r="F14" s="124" t="s">
        <v>286</v>
      </c>
      <c r="G14" s="129"/>
      <c r="H14" s="129"/>
      <c r="I14" s="13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17" t="s">
        <v>224</v>
      </c>
      <c r="B16" s="118"/>
      <c r="C16" s="133" t="s">
        <v>287</v>
      </c>
      <c r="D16" s="134"/>
      <c r="E16" s="134"/>
      <c r="F16" s="134"/>
      <c r="G16" s="134"/>
      <c r="H16" s="134"/>
      <c r="I16" s="135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17" t="s">
        <v>225</v>
      </c>
      <c r="B18" s="118"/>
      <c r="C18" s="136" t="s">
        <v>288</v>
      </c>
      <c r="D18" s="137"/>
      <c r="E18" s="137"/>
      <c r="F18" s="137"/>
      <c r="G18" s="137"/>
      <c r="H18" s="137"/>
      <c r="I18" s="13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17" t="s">
        <v>226</v>
      </c>
      <c r="B20" s="118"/>
      <c r="C20" s="139" t="s">
        <v>289</v>
      </c>
      <c r="D20" s="137"/>
      <c r="E20" s="137"/>
      <c r="F20" s="137"/>
      <c r="G20" s="137"/>
      <c r="H20" s="137"/>
      <c r="I20" s="13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17" t="s">
        <v>227</v>
      </c>
      <c r="B22" s="118"/>
      <c r="C22" s="44">
        <v>98</v>
      </c>
      <c r="D22" s="124" t="s">
        <v>286</v>
      </c>
      <c r="E22" s="125"/>
      <c r="F22" s="126"/>
      <c r="G22" s="127"/>
      <c r="H22" s="128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17" t="s">
        <v>228</v>
      </c>
      <c r="B24" s="118"/>
      <c r="C24" s="44">
        <v>19</v>
      </c>
      <c r="D24" s="133" t="s">
        <v>290</v>
      </c>
      <c r="E24" s="143"/>
      <c r="F24" s="143"/>
      <c r="G24" s="144"/>
      <c r="H24" s="38" t="s">
        <v>229</v>
      </c>
      <c r="I24" s="48">
        <v>152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230</v>
      </c>
      <c r="I25" s="43"/>
      <c r="J25" s="22"/>
      <c r="K25" s="22"/>
      <c r="L25" s="22"/>
    </row>
    <row r="26" spans="1:12" ht="12.75">
      <c r="A26" s="117" t="s">
        <v>231</v>
      </c>
      <c r="B26" s="118"/>
      <c r="C26" s="49" t="s">
        <v>291</v>
      </c>
      <c r="D26" s="50"/>
      <c r="E26" s="22"/>
      <c r="F26" s="51"/>
      <c r="G26" s="117" t="s">
        <v>232</v>
      </c>
      <c r="H26" s="118"/>
      <c r="I26" s="52" t="s">
        <v>292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5" t="s">
        <v>233</v>
      </c>
      <c r="B28" s="146"/>
      <c r="C28" s="147"/>
      <c r="D28" s="147"/>
      <c r="E28" s="148" t="s">
        <v>234</v>
      </c>
      <c r="F28" s="149"/>
      <c r="G28" s="149"/>
      <c r="H28" s="150" t="s">
        <v>235</v>
      </c>
      <c r="I28" s="15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0"/>
      <c r="B30" s="141"/>
      <c r="C30" s="141"/>
      <c r="D30" s="142"/>
      <c r="E30" s="140"/>
      <c r="F30" s="141"/>
      <c r="G30" s="141"/>
      <c r="H30" s="119"/>
      <c r="I30" s="120"/>
      <c r="J30" s="22"/>
      <c r="K30" s="22"/>
      <c r="L30" s="22"/>
    </row>
    <row r="31" spans="1:12" ht="12.75">
      <c r="A31" s="45"/>
      <c r="B31" s="45"/>
      <c r="C31" s="43"/>
      <c r="D31" s="151"/>
      <c r="E31" s="151"/>
      <c r="F31" s="151"/>
      <c r="G31" s="152"/>
      <c r="H31" s="31"/>
      <c r="I31" s="57"/>
      <c r="J31" s="22"/>
      <c r="K31" s="22"/>
      <c r="L31" s="22"/>
    </row>
    <row r="32" spans="1:12" ht="12.75">
      <c r="A32" s="140"/>
      <c r="B32" s="141"/>
      <c r="C32" s="141"/>
      <c r="D32" s="142"/>
      <c r="E32" s="140"/>
      <c r="F32" s="141"/>
      <c r="G32" s="141"/>
      <c r="H32" s="119"/>
      <c r="I32" s="12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0"/>
      <c r="B34" s="141"/>
      <c r="C34" s="141"/>
      <c r="D34" s="142"/>
      <c r="E34" s="140"/>
      <c r="F34" s="141"/>
      <c r="G34" s="141"/>
      <c r="H34" s="119"/>
      <c r="I34" s="12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0"/>
      <c r="B36" s="141"/>
      <c r="C36" s="141"/>
      <c r="D36" s="142"/>
      <c r="E36" s="140"/>
      <c r="F36" s="141"/>
      <c r="G36" s="141"/>
      <c r="H36" s="119"/>
      <c r="I36" s="120"/>
      <c r="J36" s="22"/>
      <c r="K36" s="22"/>
      <c r="L36" s="22"/>
    </row>
    <row r="37" spans="1:12" ht="12.75">
      <c r="A37" s="59"/>
      <c r="B37" s="59"/>
      <c r="C37" s="154"/>
      <c r="D37" s="155"/>
      <c r="E37" s="31"/>
      <c r="F37" s="154"/>
      <c r="G37" s="155"/>
      <c r="H37" s="31"/>
      <c r="I37" s="31"/>
      <c r="J37" s="22"/>
      <c r="K37" s="22"/>
      <c r="L37" s="22"/>
    </row>
    <row r="38" spans="1:12" ht="12.75">
      <c r="A38" s="140"/>
      <c r="B38" s="141"/>
      <c r="C38" s="141"/>
      <c r="D38" s="142"/>
      <c r="E38" s="140"/>
      <c r="F38" s="141"/>
      <c r="G38" s="141"/>
      <c r="H38" s="119"/>
      <c r="I38" s="12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0"/>
      <c r="B40" s="141"/>
      <c r="C40" s="141"/>
      <c r="D40" s="142"/>
      <c r="E40" s="140"/>
      <c r="F40" s="141"/>
      <c r="G40" s="141"/>
      <c r="H40" s="119"/>
      <c r="I40" s="12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6" t="s">
        <v>236</v>
      </c>
      <c r="B44" s="157"/>
      <c r="C44" s="119"/>
      <c r="D44" s="120"/>
      <c r="E44" s="32"/>
      <c r="F44" s="124"/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54"/>
      <c r="D45" s="155"/>
      <c r="E45" s="31"/>
      <c r="F45" s="154"/>
      <c r="G45" s="164"/>
      <c r="H45" s="67"/>
      <c r="I45" s="67"/>
      <c r="J45" s="22"/>
      <c r="K45" s="22"/>
      <c r="L45" s="22"/>
    </row>
    <row r="46" spans="1:12" ht="12.75">
      <c r="A46" s="156" t="s">
        <v>237</v>
      </c>
      <c r="B46" s="157"/>
      <c r="C46" s="133" t="s">
        <v>293</v>
      </c>
      <c r="D46" s="153"/>
      <c r="E46" s="153"/>
      <c r="F46" s="153"/>
      <c r="G46" s="153"/>
      <c r="H46" s="153"/>
      <c r="I46" s="153"/>
      <c r="J46" s="22"/>
      <c r="K46" s="22"/>
      <c r="L46" s="22"/>
    </row>
    <row r="47" spans="1:12" ht="12.75">
      <c r="A47" s="40"/>
      <c r="B47" s="40"/>
      <c r="C47" s="68" t="s">
        <v>238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6" t="s">
        <v>239</v>
      </c>
      <c r="B48" s="157"/>
      <c r="C48" s="158" t="s">
        <v>294</v>
      </c>
      <c r="D48" s="159"/>
      <c r="E48" s="160"/>
      <c r="F48" s="32"/>
      <c r="G48" s="38" t="s">
        <v>240</v>
      </c>
      <c r="H48" s="161" t="s">
        <v>295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6" t="s">
        <v>225</v>
      </c>
      <c r="B50" s="157"/>
      <c r="C50" s="167" t="s">
        <v>296</v>
      </c>
      <c r="D50" s="159"/>
      <c r="E50" s="159"/>
      <c r="F50" s="159"/>
      <c r="G50" s="159"/>
      <c r="H50" s="159"/>
      <c r="I50" s="160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17" t="s">
        <v>241</v>
      </c>
      <c r="B52" s="118"/>
      <c r="C52" s="158" t="s">
        <v>297</v>
      </c>
      <c r="D52" s="159"/>
      <c r="E52" s="159"/>
      <c r="F52" s="159"/>
      <c r="G52" s="159"/>
      <c r="H52" s="159"/>
      <c r="I52" s="130"/>
      <c r="J52" s="22"/>
      <c r="K52" s="22"/>
      <c r="L52" s="22"/>
    </row>
    <row r="53" spans="1:12" ht="12.75">
      <c r="A53" s="69"/>
      <c r="B53" s="69"/>
      <c r="C53" s="170" t="s">
        <v>242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243</v>
      </c>
      <c r="C55" s="169"/>
      <c r="D55" s="169"/>
      <c r="E55" s="169"/>
      <c r="F55" s="103"/>
      <c r="G55" s="103"/>
      <c r="H55" s="104"/>
      <c r="I55" s="104"/>
      <c r="J55" s="22"/>
      <c r="K55" s="22"/>
      <c r="L55" s="22"/>
    </row>
    <row r="56" spans="1:12" ht="12.75">
      <c r="A56" s="69"/>
      <c r="B56" s="105" t="s">
        <v>279</v>
      </c>
      <c r="C56" s="106"/>
      <c r="D56" s="106"/>
      <c r="E56" s="106"/>
      <c r="F56" s="106"/>
      <c r="G56" s="106"/>
      <c r="H56" s="174" t="s">
        <v>274</v>
      </c>
      <c r="I56" s="174"/>
      <c r="J56" s="22"/>
      <c r="K56" s="22"/>
      <c r="L56" s="22"/>
    </row>
    <row r="57" spans="1:12" ht="12.75">
      <c r="A57" s="69"/>
      <c r="B57" s="105" t="s">
        <v>275</v>
      </c>
      <c r="C57" s="106"/>
      <c r="D57" s="106"/>
      <c r="E57" s="106"/>
      <c r="F57" s="106"/>
      <c r="G57" s="106"/>
      <c r="H57" s="174"/>
      <c r="I57" s="174"/>
      <c r="J57" s="22"/>
      <c r="K57" s="22"/>
      <c r="L57" s="22"/>
    </row>
    <row r="58" spans="1:12" ht="12.75">
      <c r="A58" s="69"/>
      <c r="B58" s="105" t="s">
        <v>276</v>
      </c>
      <c r="C58" s="106"/>
      <c r="D58" s="106"/>
      <c r="E58" s="106"/>
      <c r="F58" s="106"/>
      <c r="G58" s="106"/>
      <c r="H58" s="174"/>
      <c r="I58" s="174"/>
      <c r="J58" s="22"/>
      <c r="K58" s="22"/>
      <c r="L58" s="22"/>
    </row>
    <row r="59" spans="1:12" ht="12.75">
      <c r="A59" s="69"/>
      <c r="B59" s="105" t="s">
        <v>277</v>
      </c>
      <c r="C59" s="107"/>
      <c r="D59" s="107"/>
      <c r="E59" s="107"/>
      <c r="F59" s="107"/>
      <c r="G59" s="107"/>
      <c r="H59" s="174"/>
      <c r="I59" s="174"/>
      <c r="J59" s="22"/>
      <c r="K59" s="22"/>
      <c r="L59" s="22"/>
    </row>
    <row r="60" spans="1:12" ht="12.75">
      <c r="A60" s="69"/>
      <c r="B60" s="105" t="s">
        <v>278</v>
      </c>
      <c r="C60" s="107"/>
      <c r="D60" s="107"/>
      <c r="E60" s="107"/>
      <c r="F60" s="107"/>
      <c r="G60" s="107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244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245</v>
      </c>
      <c r="F63" s="22"/>
      <c r="G63" s="171" t="s">
        <v>246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18:I18 C20:I20 I24 A30:I30 A32:I32 A34:D34" name="Range1"/>
    <protectedRange sqref="C6:D6" name="Range1_1"/>
    <protectedRange sqref="C8:D8" name="Range1_1_1_1_1"/>
    <protectedRange sqref="C10:D10" name="Range1_2"/>
    <protectedRange sqref="C14:D14" name="Range1_3"/>
    <protectedRange sqref="F14:I14" name="Range1_4"/>
    <protectedRange sqref="C16:I16" name="Range1_5"/>
    <protectedRange sqref="C22" name="Range1_8"/>
    <protectedRange sqref="D22:F22" name="Range1_9"/>
    <protectedRange sqref="C24" name="Range1_10"/>
    <protectedRange sqref="D24:G24" name="Range1_4_2"/>
    <protectedRange sqref="C26" name="Range1_11"/>
    <protectedRange sqref="I26" name="Range1_12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otelimaestral.com"/>
  </hyperlinks>
  <printOptions horizontalCentered="1"/>
  <pageMargins left="0.9448818897637796" right="0.7480314960629921" top="0.984251968503937" bottom="0.984251968503937" header="0.5118110236220472" footer="0.5118110236220472"/>
  <pageSetup horizontalDpi="300" verticalDpi="300" orientation="portrait" paperSize="9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showGridLines="0" view="pageBreakPreview" zoomScaleSheetLayoutView="100" zoomScalePageLayoutView="0" workbookViewId="0" topLeftCell="A91">
      <selection activeCell="K6" sqref="K6"/>
    </sheetView>
  </sheetViews>
  <sheetFormatPr defaultColWidth="9.140625" defaultRowHeight="12.75"/>
  <cols>
    <col min="10" max="10" width="9.8515625" style="0" customWidth="1"/>
    <col min="11" max="11" width="9.8515625" style="0" bestFit="1" customWidth="1"/>
  </cols>
  <sheetData>
    <row r="1" spans="1:11" ht="12.75" customHeight="1">
      <c r="A1" s="206" t="s">
        <v>129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298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5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2.75">
      <c r="A4" s="209" t="s">
        <v>299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21.75" thickBot="1">
      <c r="A5" s="212" t="s">
        <v>41</v>
      </c>
      <c r="B5" s="213"/>
      <c r="C5" s="213"/>
      <c r="D5" s="213"/>
      <c r="E5" s="213"/>
      <c r="F5" s="213"/>
      <c r="G5" s="213"/>
      <c r="H5" s="214"/>
      <c r="I5" s="77" t="s">
        <v>247</v>
      </c>
      <c r="J5" s="78">
        <v>2016</v>
      </c>
      <c r="K5" s="79">
        <v>2017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81">
        <v>2</v>
      </c>
      <c r="J6" s="80">
        <v>3</v>
      </c>
      <c r="K6" s="80">
        <v>4</v>
      </c>
    </row>
    <row r="7" spans="1:11" ht="12.75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12.75">
      <c r="A8" s="184" t="s">
        <v>42</v>
      </c>
      <c r="B8" s="185"/>
      <c r="C8" s="185"/>
      <c r="D8" s="185"/>
      <c r="E8" s="185"/>
      <c r="F8" s="185"/>
      <c r="G8" s="185"/>
      <c r="H8" s="205"/>
      <c r="I8" s="6">
        <v>1</v>
      </c>
      <c r="J8" s="11"/>
      <c r="K8" s="11"/>
    </row>
    <row r="9" spans="1:11" ht="12.75">
      <c r="A9" s="194" t="s">
        <v>10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187267106.34</v>
      </c>
      <c r="K9" s="12">
        <f>K10+K17+K27+K36+K40</f>
        <v>187944184</v>
      </c>
    </row>
    <row r="10" spans="1:11" ht="12.75">
      <c r="A10" s="188" t="s">
        <v>173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362770.58</v>
      </c>
      <c r="K10" s="12">
        <f>SUM(K11:K16)</f>
        <v>309409</v>
      </c>
    </row>
    <row r="11" spans="1:11" ht="12.75">
      <c r="A11" s="188" t="s">
        <v>91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/>
      <c r="K11" s="13"/>
    </row>
    <row r="12" spans="1:11" ht="12.75">
      <c r="A12" s="188" t="s">
        <v>11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>
        <v>30122</v>
      </c>
      <c r="K12" s="13">
        <v>309409</v>
      </c>
    </row>
    <row r="13" spans="1:11" ht="12.75">
      <c r="A13" s="188" t="s">
        <v>92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/>
      <c r="K13" s="13"/>
    </row>
    <row r="14" spans="1:11" ht="12.75">
      <c r="A14" s="188" t="s">
        <v>176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</row>
    <row r="15" spans="1:11" ht="12.75">
      <c r="A15" s="188" t="s">
        <v>177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>
        <v>332648.58</v>
      </c>
      <c r="K15" s="13"/>
    </row>
    <row r="16" spans="1:11" ht="12.75">
      <c r="A16" s="188" t="s">
        <v>178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/>
      <c r="K16" s="13"/>
    </row>
    <row r="17" spans="1:11" ht="12.75">
      <c r="A17" s="188" t="s">
        <v>174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186581296.76</v>
      </c>
      <c r="K17" s="12">
        <f>SUM(K18:K26)</f>
        <v>187304571</v>
      </c>
    </row>
    <row r="18" spans="1:11" ht="12.75">
      <c r="A18" s="188" t="s">
        <v>179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138784620</v>
      </c>
      <c r="K18" s="13">
        <v>138784620</v>
      </c>
    </row>
    <row r="19" spans="1:11" ht="12.75">
      <c r="A19" s="188" t="s">
        <v>214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f>153365721-105777058-1407879-1410371-2575618</f>
        <v>42194795</v>
      </c>
      <c r="K19" s="13">
        <f>154354153-107494174-1472939-1461513-2712399+2</f>
        <v>41213130</v>
      </c>
    </row>
    <row r="20" spans="1:11" ht="12.75">
      <c r="A20" s="188" t="s">
        <v>180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f>26526387-1738308-102955-5427761-1459610-7764033-4988229-688884.24</f>
        <v>4356606.76</v>
      </c>
      <c r="K20" s="13">
        <f>27565100-1806468-102955-4729435-1467909-7945046-5333379-743400</f>
        <v>5436508</v>
      </c>
    </row>
    <row r="21" spans="1:11" ht="12.75">
      <c r="A21" s="188" t="s">
        <v>21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f>18625038-1414986-30668-14025237-1716369-312603-462026</f>
        <v>663149</v>
      </c>
      <c r="K21" s="13">
        <f>18883926-1382720-31347-13710277-1706400-314846-463555</f>
        <v>1274781</v>
      </c>
    </row>
    <row r="22" spans="1:11" ht="12.75">
      <c r="A22" s="188" t="s">
        <v>22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</row>
    <row r="23" spans="1:11" ht="12.75">
      <c r="A23" s="188" t="s">
        <v>50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/>
      <c r="K23" s="13"/>
    </row>
    <row r="24" spans="1:11" ht="12.75">
      <c r="A24" s="188" t="s">
        <v>51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f>200600+19693</f>
        <v>220293</v>
      </c>
      <c r="K24" s="13">
        <v>221699</v>
      </c>
    </row>
    <row r="25" spans="1:11" ht="12.75">
      <c r="A25" s="188" t="s">
        <v>52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361833</v>
      </c>
      <c r="K25" s="13">
        <v>373833</v>
      </c>
    </row>
    <row r="26" spans="1:11" ht="12.75">
      <c r="A26" s="188" t="s">
        <v>53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/>
      <c r="K26" s="13"/>
    </row>
    <row r="27" spans="1:11" ht="12.75">
      <c r="A27" s="188" t="s">
        <v>158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323039</v>
      </c>
      <c r="K27" s="12">
        <f>SUM(K28:K35)</f>
        <v>330204</v>
      </c>
    </row>
    <row r="28" spans="1:11" ht="12.75">
      <c r="A28" s="188" t="s">
        <v>54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/>
      <c r="K28" s="13"/>
    </row>
    <row r="29" spans="1:11" ht="12.75">
      <c r="A29" s="188" t="s">
        <v>55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</row>
    <row r="30" spans="1:11" ht="12.75">
      <c r="A30" s="188" t="s">
        <v>56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>
        <v>323039</v>
      </c>
      <c r="K30" s="13">
        <v>330204</v>
      </c>
    </row>
    <row r="31" spans="1:11" ht="12.75">
      <c r="A31" s="188" t="s">
        <v>61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</row>
    <row r="32" spans="1:11" ht="12.75">
      <c r="A32" s="188" t="s">
        <v>62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/>
      <c r="K32" s="13"/>
    </row>
    <row r="33" spans="1:11" ht="12.75">
      <c r="A33" s="188" t="s">
        <v>63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/>
      <c r="K33" s="13"/>
    </row>
    <row r="34" spans="1:11" ht="12.75">
      <c r="A34" s="188" t="s">
        <v>57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/>
      <c r="K34" s="13"/>
    </row>
    <row r="35" spans="1:11" ht="12.75">
      <c r="A35" s="188" t="s">
        <v>150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</row>
    <row r="36" spans="1:11" ht="12.75">
      <c r="A36" s="188" t="s">
        <v>151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8" t="s">
        <v>58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</row>
    <row r="38" spans="1:11" ht="12.75">
      <c r="A38" s="188" t="s">
        <v>59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/>
      <c r="K38" s="13"/>
    </row>
    <row r="39" spans="1:11" ht="12.75">
      <c r="A39" s="188" t="s">
        <v>60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/>
      <c r="K39" s="13"/>
    </row>
    <row r="40" spans="1:11" ht="12.75">
      <c r="A40" s="188" t="s">
        <v>152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/>
      <c r="K40" s="13"/>
    </row>
    <row r="41" spans="1:11" ht="12.75">
      <c r="A41" s="194" t="s">
        <v>207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5949192.13</v>
      </c>
      <c r="K41" s="12">
        <f>K42+K50+K57+K65</f>
        <v>6650113</v>
      </c>
    </row>
    <row r="42" spans="1:11" ht="12.75">
      <c r="A42" s="188" t="s">
        <v>79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588985.13</v>
      </c>
      <c r="K42" s="12">
        <f>SUM(K43:K49)</f>
        <v>770368</v>
      </c>
    </row>
    <row r="43" spans="1:11" ht="12.75">
      <c r="A43" s="188" t="s">
        <v>95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f>587903.13-16283</f>
        <v>571620.13</v>
      </c>
      <c r="K43" s="13">
        <f>770198-14821</f>
        <v>755377</v>
      </c>
    </row>
    <row r="44" spans="1:11" ht="12.75">
      <c r="A44" s="188" t="s">
        <v>96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/>
      <c r="K44" s="13"/>
    </row>
    <row r="45" spans="1:11" ht="12.75">
      <c r="A45" s="188" t="s">
        <v>64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/>
      <c r="K45" s="13"/>
    </row>
    <row r="46" spans="1:11" ht="12.75">
      <c r="A46" s="188" t="s">
        <v>65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1082</v>
      </c>
      <c r="K46" s="13">
        <v>170</v>
      </c>
    </row>
    <row r="47" spans="1:11" ht="12.75">
      <c r="A47" s="188" t="s">
        <v>66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>
        <v>16283</v>
      </c>
      <c r="K47" s="13">
        <v>14821</v>
      </c>
    </row>
    <row r="48" spans="1:11" ht="12.75">
      <c r="A48" s="188" t="s">
        <v>67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/>
      <c r="K48" s="13"/>
    </row>
    <row r="49" spans="1:11" ht="12.75">
      <c r="A49" s="188" t="s">
        <v>68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</row>
    <row r="50" spans="1:11" ht="12.75">
      <c r="A50" s="188" t="s">
        <v>80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2342075</v>
      </c>
      <c r="K50" s="12">
        <f>SUM(K51:K56)</f>
        <v>1305752</v>
      </c>
    </row>
    <row r="51" spans="1:11" ht="12.75">
      <c r="A51" s="188" t="s">
        <v>168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/>
      <c r="K51" s="13"/>
    </row>
    <row r="52" spans="1:11" ht="12.75">
      <c r="A52" s="188" t="s">
        <v>169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1671045</v>
      </c>
      <c r="K52" s="13">
        <v>933236</v>
      </c>
    </row>
    <row r="53" spans="1:11" ht="12.75">
      <c r="A53" s="188" t="s">
        <v>170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</row>
    <row r="54" spans="1:11" ht="12.75">
      <c r="A54" s="188" t="s">
        <v>171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3879</v>
      </c>
      <c r="K54" s="13">
        <v>5086</v>
      </c>
    </row>
    <row r="55" spans="1:11" ht="12.75">
      <c r="A55" s="188" t="s">
        <v>7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f>51477+7299+230969</f>
        <v>289745</v>
      </c>
      <c r="K55" s="13">
        <f>45516+228539</f>
        <v>274055</v>
      </c>
    </row>
    <row r="56" spans="1:11" ht="12.75">
      <c r="A56" s="188" t="s">
        <v>8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f>422392-44986</f>
        <v>377406</v>
      </c>
      <c r="K56" s="13">
        <f>138361-44986</f>
        <v>93375</v>
      </c>
    </row>
    <row r="57" spans="1:11" ht="12.75">
      <c r="A57" s="188" t="s">
        <v>81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88" t="s">
        <v>54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2.75">
      <c r="A59" s="188" t="s">
        <v>55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</row>
    <row r="60" spans="1:11" ht="12.75">
      <c r="A60" s="188" t="s">
        <v>209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2.75">
      <c r="A61" s="188" t="s">
        <v>61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</row>
    <row r="62" spans="1:11" ht="12.75">
      <c r="A62" s="188" t="s">
        <v>62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</row>
    <row r="63" spans="1:11" ht="12.75">
      <c r="A63" s="188" t="s">
        <v>63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/>
      <c r="K63" s="13"/>
    </row>
    <row r="64" spans="1:11" ht="12.75">
      <c r="A64" s="188" t="s">
        <v>31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/>
      <c r="K64" s="13"/>
    </row>
    <row r="65" spans="1:11" ht="12.75">
      <c r="A65" s="188" t="s">
        <v>175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3018132</v>
      </c>
      <c r="K65" s="13">
        <v>4573993</v>
      </c>
    </row>
    <row r="66" spans="1:11" ht="12.75">
      <c r="A66" s="194" t="s">
        <v>38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591943</v>
      </c>
      <c r="K66" s="13">
        <v>710317</v>
      </c>
    </row>
    <row r="67" spans="1:11" ht="12.75">
      <c r="A67" s="194" t="s">
        <v>208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193808241.47</v>
      </c>
      <c r="K67" s="12">
        <f>K8+K9+K41+K66</f>
        <v>195304614</v>
      </c>
    </row>
    <row r="68" spans="1:11" ht="12.75">
      <c r="A68" s="200" t="s">
        <v>69</v>
      </c>
      <c r="B68" s="201"/>
      <c r="C68" s="201"/>
      <c r="D68" s="201"/>
      <c r="E68" s="201"/>
      <c r="F68" s="201"/>
      <c r="G68" s="201"/>
      <c r="H68" s="202"/>
      <c r="I68" s="7">
        <v>61</v>
      </c>
      <c r="J68" s="14">
        <v>108026196</v>
      </c>
      <c r="K68" s="14">
        <v>108026196</v>
      </c>
    </row>
    <row r="69" spans="1:11" ht="12.75">
      <c r="A69" s="180" t="s">
        <v>40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4" t="s">
        <v>159</v>
      </c>
      <c r="B70" s="185"/>
      <c r="C70" s="185"/>
      <c r="D70" s="185"/>
      <c r="E70" s="185"/>
      <c r="F70" s="185"/>
      <c r="G70" s="185"/>
      <c r="H70" s="205"/>
      <c r="I70" s="6">
        <v>62</v>
      </c>
      <c r="J70" s="20">
        <f>J71+J72+J73+J79+J80+J83+J86</f>
        <v>126898497</v>
      </c>
      <c r="K70" s="20">
        <f>K71+K72+K73+K79+K80+K83+K86</f>
        <v>131050848</v>
      </c>
    </row>
    <row r="71" spans="1:11" ht="12.75">
      <c r="A71" s="188" t="s">
        <v>119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103144000</v>
      </c>
      <c r="K71" s="13">
        <v>103144000</v>
      </c>
    </row>
    <row r="72" spans="1:11" ht="12.75">
      <c r="A72" s="188" t="s">
        <v>120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/>
      <c r="K72" s="13"/>
    </row>
    <row r="73" spans="1:11" ht="12.75">
      <c r="A73" s="188" t="s">
        <v>121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9808842</v>
      </c>
      <c r="K73" s="12">
        <f>K74+K75-K76+K77+K78</f>
        <v>9808842</v>
      </c>
    </row>
    <row r="74" spans="1:11" ht="12.75">
      <c r="A74" s="188" t="s">
        <v>122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216263</v>
      </c>
      <c r="K74" s="13">
        <v>216263</v>
      </c>
    </row>
    <row r="75" spans="1:11" ht="12.75">
      <c r="A75" s="188" t="s">
        <v>123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/>
      <c r="K75" s="13"/>
    </row>
    <row r="76" spans="1:11" ht="12.75">
      <c r="A76" s="188" t="s">
        <v>111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/>
      <c r="K76" s="13"/>
    </row>
    <row r="77" spans="1:11" ht="12.75">
      <c r="A77" s="188" t="s">
        <v>112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2.75">
      <c r="A78" s="188" t="s">
        <v>113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>
        <v>9592579</v>
      </c>
      <c r="K78" s="13">
        <v>9592579</v>
      </c>
    </row>
    <row r="79" spans="1:11" ht="12.75">
      <c r="A79" s="188" t="s">
        <v>114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27164505</v>
      </c>
      <c r="K79" s="13">
        <v>27164505</v>
      </c>
    </row>
    <row r="80" spans="1:11" ht="12.75">
      <c r="A80" s="188" t="s">
        <v>205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-17097935</v>
      </c>
      <c r="K80" s="12">
        <f>K81-K82</f>
        <v>-13218851</v>
      </c>
    </row>
    <row r="81" spans="1:11" ht="12.75">
      <c r="A81" s="197" t="s">
        <v>140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/>
      <c r="K81" s="13"/>
    </row>
    <row r="82" spans="1:11" ht="12.75">
      <c r="A82" s="197" t="s">
        <v>141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>
        <v>17097935</v>
      </c>
      <c r="K82" s="13">
        <v>13218851</v>
      </c>
    </row>
    <row r="83" spans="1:11" ht="12.75">
      <c r="A83" s="188" t="s">
        <v>206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3879085</v>
      </c>
      <c r="K83" s="12">
        <f>K84-K85</f>
        <v>4152352</v>
      </c>
    </row>
    <row r="84" spans="1:11" ht="12.75">
      <c r="A84" s="197" t="s">
        <v>142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>
        <v>3879085</v>
      </c>
      <c r="K84" s="13">
        <v>4152352</v>
      </c>
    </row>
    <row r="85" spans="1:11" ht="12.75">
      <c r="A85" s="197" t="s">
        <v>143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/>
      <c r="K85" s="13"/>
    </row>
    <row r="86" spans="1:11" ht="12.75">
      <c r="A86" s="188" t="s">
        <v>144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</row>
    <row r="87" spans="1:11" ht="12.75">
      <c r="A87" s="194" t="s">
        <v>13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1395530</v>
      </c>
      <c r="K87" s="12">
        <f>SUM(K88:K90)</f>
        <v>1354280</v>
      </c>
    </row>
    <row r="88" spans="1:11" ht="12.75">
      <c r="A88" s="188" t="s">
        <v>107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/>
      <c r="K88" s="13"/>
    </row>
    <row r="89" spans="1:11" ht="12.75">
      <c r="A89" s="188" t="s">
        <v>108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</row>
    <row r="90" spans="1:11" ht="12.75">
      <c r="A90" s="188" t="s">
        <v>109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>
        <v>1395530</v>
      </c>
      <c r="K90" s="13">
        <v>1354280</v>
      </c>
    </row>
    <row r="91" spans="1:11" ht="12.75">
      <c r="A91" s="194" t="s">
        <v>14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56697802</v>
      </c>
      <c r="K91" s="12">
        <f>SUM(K92:K100)</f>
        <v>55072210</v>
      </c>
    </row>
    <row r="92" spans="1:11" ht="12.75">
      <c r="A92" s="188" t="s">
        <v>110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>
        <v>49371758</v>
      </c>
      <c r="K92" s="13">
        <v>50710095</v>
      </c>
    </row>
    <row r="93" spans="1:11" ht="12.75">
      <c r="A93" s="188" t="s">
        <v>210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/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7326044</v>
      </c>
      <c r="K94" s="13">
        <v>4362115</v>
      </c>
    </row>
    <row r="95" spans="1:11" ht="12.75">
      <c r="A95" s="188" t="s">
        <v>211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</row>
    <row r="96" spans="1:11" ht="12.75">
      <c r="A96" s="188" t="s">
        <v>212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</row>
    <row r="97" spans="1:11" ht="12.75">
      <c r="A97" s="188" t="s">
        <v>213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</row>
    <row r="98" spans="1:11" ht="12.75">
      <c r="A98" s="188" t="s">
        <v>72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</row>
    <row r="99" spans="1:11" ht="12.75">
      <c r="A99" s="188" t="s">
        <v>70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/>
      <c r="K99" s="13"/>
    </row>
    <row r="100" spans="1:11" ht="12.75">
      <c r="A100" s="188" t="s">
        <v>71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/>
      <c r="K100" s="13"/>
    </row>
    <row r="101" spans="1:11" ht="12.75">
      <c r="A101" s="194" t="s">
        <v>15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7951061</v>
      </c>
      <c r="K101" s="12">
        <f>SUM(K102:K113)</f>
        <v>6709433</v>
      </c>
    </row>
    <row r="102" spans="1:11" ht="12.75">
      <c r="A102" s="188" t="s">
        <v>110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/>
    </row>
    <row r="103" spans="1:11" ht="12.75">
      <c r="A103" s="188" t="s">
        <v>210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/>
      <c r="K103" s="13"/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2950688</v>
      </c>
      <c r="K104" s="13">
        <v>2941664</v>
      </c>
    </row>
    <row r="105" spans="1:11" ht="12.75">
      <c r="A105" s="188" t="s">
        <v>211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608547</v>
      </c>
      <c r="K105" s="13">
        <v>642074</v>
      </c>
    </row>
    <row r="106" spans="1:11" ht="12.75">
      <c r="A106" s="188" t="s">
        <v>212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768329</v>
      </c>
      <c r="K106" s="13">
        <v>425793</v>
      </c>
    </row>
    <row r="107" spans="1:11" ht="12.75">
      <c r="A107" s="188" t="s">
        <v>213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/>
      <c r="K107" s="13"/>
    </row>
    <row r="108" spans="1:11" ht="12.75">
      <c r="A108" s="188" t="s">
        <v>72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</row>
    <row r="109" spans="1:11" ht="12.75">
      <c r="A109" s="188" t="s">
        <v>73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f>887764+1045147</f>
        <v>1932911</v>
      </c>
      <c r="K109" s="13">
        <f>696738+1034454</f>
        <v>1731192</v>
      </c>
    </row>
    <row r="110" spans="1:11" ht="12.75">
      <c r="A110" s="188" t="s">
        <v>74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f>243805+11260+5977+291043+118738+12082+2500+994841</f>
        <v>1680246</v>
      </c>
      <c r="K110" s="13">
        <f>258391+241743+18222+10987+288646+121198+12523</f>
        <v>951710</v>
      </c>
    </row>
    <row r="111" spans="1:11" ht="12.75">
      <c r="A111" s="188" t="s">
        <v>77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/>
      <c r="K111" s="13"/>
    </row>
    <row r="112" spans="1:11" ht="12.75">
      <c r="A112" s="188" t="s">
        <v>75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/>
      <c r="K112" s="13"/>
    </row>
    <row r="113" spans="1:11" ht="12.75">
      <c r="A113" s="188" t="s">
        <v>76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f>10000+340</f>
        <v>10340</v>
      </c>
      <c r="K113" s="13">
        <v>17000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865351</v>
      </c>
      <c r="K114" s="13">
        <v>1117843</v>
      </c>
    </row>
    <row r="115" spans="1:11" ht="12.75">
      <c r="A115" s="194" t="s">
        <v>19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193808241</v>
      </c>
      <c r="K115" s="12">
        <f>K70+K87+K91+K101+K114</f>
        <v>195304614</v>
      </c>
    </row>
    <row r="116" spans="1:11" ht="12.75">
      <c r="A116" s="177" t="s">
        <v>39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>
        <v>108026196</v>
      </c>
      <c r="K116" s="14">
        <v>108026196</v>
      </c>
    </row>
    <row r="117" spans="1:11" ht="12.75">
      <c r="A117" s="180" t="s">
        <v>248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>
      <c r="A118" s="184" t="s">
        <v>153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>
      <c r="A119" s="188" t="s">
        <v>5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191" t="s">
        <v>6</v>
      </c>
      <c r="B120" s="192"/>
      <c r="C120" s="192"/>
      <c r="D120" s="192"/>
      <c r="E120" s="192"/>
      <c r="F120" s="192"/>
      <c r="G120" s="192"/>
      <c r="H120" s="19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5" t="s">
        <v>78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2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2">
    <mergeCell ref="A1:K1"/>
    <mergeCell ref="A2:K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6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7 K71 J85 J73 K8:K68 J8:J11 J16:J17 J26:J29 J31:J42 J48:J51 J57:J64 K73:K78 K80:K85 J80:J81 J83 K87:K116 J87:J89 J91 J95:J103 J115">
      <formula1>0</formula1>
    </dataValidation>
    <dataValidation allowBlank="1" sqref="J12:J15 J18:J25 J30 J43:J47 J52:J56 J65:J66 J68 J71 J74:J79 J82 J84 J90 J92:J94 J104:J114 J116"/>
  </dataValidation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3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sheetData>
    <row r="1" spans="1:11" ht="12.75" customHeight="1">
      <c r="A1" s="206" t="s">
        <v>130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30" t="s">
        <v>300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1" t="s">
        <v>299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24" thickBot="1">
      <c r="A5" s="234" t="s">
        <v>41</v>
      </c>
      <c r="B5" s="234"/>
      <c r="C5" s="234"/>
      <c r="D5" s="234"/>
      <c r="E5" s="234"/>
      <c r="F5" s="234"/>
      <c r="G5" s="234"/>
      <c r="H5" s="234"/>
      <c r="I5" s="77" t="s">
        <v>249</v>
      </c>
      <c r="J5" s="79">
        <v>2016</v>
      </c>
      <c r="K5" s="79">
        <v>2017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81">
        <v>2</v>
      </c>
      <c r="J6" s="80">
        <v>3</v>
      </c>
      <c r="K6" s="80">
        <v>4</v>
      </c>
    </row>
    <row r="7" spans="1:11" ht="12.75">
      <c r="A7" s="184" t="s">
        <v>20</v>
      </c>
      <c r="B7" s="185"/>
      <c r="C7" s="185"/>
      <c r="D7" s="185"/>
      <c r="E7" s="185"/>
      <c r="F7" s="185"/>
      <c r="G7" s="185"/>
      <c r="H7" s="205"/>
      <c r="I7" s="6">
        <v>111</v>
      </c>
      <c r="J7" s="20">
        <f>SUM(J8:J9)</f>
        <v>51337309</v>
      </c>
      <c r="K7" s="20">
        <f>SUM(K8:K9)</f>
        <v>54034799</v>
      </c>
    </row>
    <row r="8" spans="1:11" ht="12.75">
      <c r="A8" s="194" t="s">
        <v>128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f>11456908+38429020+1</f>
        <v>49885929</v>
      </c>
      <c r="K8" s="13">
        <f>10665503+41994896</f>
        <v>52660399</v>
      </c>
    </row>
    <row r="9" spans="1:11" ht="12.75">
      <c r="A9" s="194" t="s">
        <v>82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f>3134+776110+153346+518790</f>
        <v>1451380</v>
      </c>
      <c r="K9" s="13">
        <f>8080+844210+180387+300473+41250</f>
        <v>1374400</v>
      </c>
    </row>
    <row r="10" spans="1:11" ht="12.75">
      <c r="A10" s="194" t="s">
        <v>9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44511893</v>
      </c>
      <c r="K10" s="12">
        <f>K11+K12+K16+K20+K21+K22+K25+K26</f>
        <v>48046946</v>
      </c>
    </row>
    <row r="11" spans="1:11" ht="12.75">
      <c r="A11" s="194" t="s">
        <v>83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/>
      <c r="K11" s="13"/>
    </row>
    <row r="12" spans="1:11" ht="12.75">
      <c r="A12" s="194" t="s">
        <v>16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17381332</v>
      </c>
      <c r="K12" s="12">
        <f>SUM(K13:K15)</f>
        <v>18950451</v>
      </c>
    </row>
    <row r="13" spans="1:11" ht="12.75">
      <c r="A13" s="188" t="s">
        <v>124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7228821</v>
      </c>
      <c r="K13" s="13">
        <v>7674944</v>
      </c>
    </row>
    <row r="14" spans="1:11" ht="12.75">
      <c r="A14" s="188" t="s">
        <v>125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94610</v>
      </c>
      <c r="K14" s="13">
        <v>115008</v>
      </c>
    </row>
    <row r="15" spans="1:11" ht="12.75">
      <c r="A15" s="188" t="s">
        <v>43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f>5902319+4155582</f>
        <v>10057901</v>
      </c>
      <c r="K15" s="13">
        <f>6844887+4315612</f>
        <v>11160499</v>
      </c>
    </row>
    <row r="16" spans="1:11" ht="12.75">
      <c r="A16" s="194" t="s">
        <v>17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21087464</v>
      </c>
      <c r="K16" s="12">
        <f>SUM(K17:K19)</f>
        <v>22924623</v>
      </c>
    </row>
    <row r="17" spans="1:11" ht="12.75">
      <c r="A17" s="188" t="s">
        <v>44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f>12239617+289294+137805</f>
        <v>12666716</v>
      </c>
      <c r="K17" s="13">
        <f>13236081+580619+135356</f>
        <v>13952056</v>
      </c>
    </row>
    <row r="18" spans="1:11" ht="12.75">
      <c r="A18" s="188" t="s">
        <v>45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5306987</v>
      </c>
      <c r="K18" s="13">
        <v>5579779</v>
      </c>
    </row>
    <row r="19" spans="1:11" ht="12.75">
      <c r="A19" s="188" t="s">
        <v>46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3113761</v>
      </c>
      <c r="K19" s="13">
        <v>3392788</v>
      </c>
    </row>
    <row r="20" spans="1:11" ht="12.75">
      <c r="A20" s="194" t="s">
        <v>84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3383259</v>
      </c>
      <c r="K20" s="13">
        <v>3118025</v>
      </c>
    </row>
    <row r="21" spans="1:11" ht="12.75">
      <c r="A21" s="194" t="s">
        <v>85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f>1178111+452195</f>
        <v>1630306</v>
      </c>
      <c r="K21" s="13">
        <f>1505881+415016</f>
        <v>1920897</v>
      </c>
    </row>
    <row r="22" spans="1:11" ht="12.75">
      <c r="A22" s="194" t="s">
        <v>18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21749</v>
      </c>
      <c r="K22" s="12">
        <f>SUM(K23:K24)</f>
        <v>324672</v>
      </c>
    </row>
    <row r="23" spans="1:11" ht="12.75">
      <c r="A23" s="188" t="s">
        <v>115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/>
      <c r="K23" s="13"/>
    </row>
    <row r="24" spans="1:11" ht="12.75">
      <c r="A24" s="188" t="s">
        <v>116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21749</v>
      </c>
      <c r="K24" s="13">
        <v>324672</v>
      </c>
    </row>
    <row r="25" spans="1:11" ht="12.75">
      <c r="A25" s="194" t="s">
        <v>86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>
        <v>871220</v>
      </c>
      <c r="K25" s="13">
        <v>686000</v>
      </c>
    </row>
    <row r="26" spans="1:11" ht="12.75">
      <c r="A26" s="194" t="s">
        <v>37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>
        <v>136563</v>
      </c>
      <c r="K26" s="13">
        <f>122278</f>
        <v>122278</v>
      </c>
    </row>
    <row r="27" spans="1:11" ht="12.75">
      <c r="A27" s="194" t="s">
        <v>181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1375184</v>
      </c>
      <c r="K27" s="12">
        <f>SUM(K28:K32)</f>
        <v>1654442</v>
      </c>
    </row>
    <row r="28" spans="1:11" ht="12.75" customHeight="1">
      <c r="A28" s="267" t="s">
        <v>304</v>
      </c>
      <c r="B28" s="268"/>
      <c r="C28" s="268"/>
      <c r="D28" s="268"/>
      <c r="E28" s="268"/>
      <c r="F28" s="268"/>
      <c r="G28" s="268"/>
      <c r="H28" s="269"/>
      <c r="I28" s="4">
        <v>132</v>
      </c>
      <c r="J28" s="13">
        <v>771977</v>
      </c>
      <c r="K28" s="13">
        <v>193363</v>
      </c>
    </row>
    <row r="29" spans="1:11" ht="12.75" customHeight="1">
      <c r="A29" s="267" t="s">
        <v>303</v>
      </c>
      <c r="B29" s="268"/>
      <c r="C29" s="268"/>
      <c r="D29" s="268"/>
      <c r="E29" s="268"/>
      <c r="F29" s="268"/>
      <c r="G29" s="268"/>
      <c r="H29" s="269"/>
      <c r="I29" s="4">
        <v>133</v>
      </c>
      <c r="J29" s="13">
        <v>458690</v>
      </c>
      <c r="K29" s="13">
        <f>1515549-193363+119+83</f>
        <v>1322388</v>
      </c>
    </row>
    <row r="30" spans="1:11" ht="12.75">
      <c r="A30" s="194" t="s">
        <v>117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 ht="12.75">
      <c r="A31" s="194" t="s">
        <v>191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>
        <v>46429</v>
      </c>
      <c r="K31" s="13">
        <v>32428</v>
      </c>
    </row>
    <row r="32" spans="1:11" ht="12.75">
      <c r="A32" s="194" t="s">
        <v>118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>
        <v>98088</v>
      </c>
      <c r="K32" s="13">
        <v>106263</v>
      </c>
    </row>
    <row r="33" spans="1:11" ht="12.75">
      <c r="A33" s="194" t="s">
        <v>182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2898166</v>
      </c>
      <c r="K33" s="12">
        <f>SUM(K34:K37)</f>
        <v>2192233</v>
      </c>
    </row>
    <row r="34" spans="1:11" ht="12.75">
      <c r="A34" s="194" t="s">
        <v>48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>
        <v>2024821</v>
      </c>
      <c r="K34" s="13">
        <v>1615777</v>
      </c>
    </row>
    <row r="35" spans="1:11" ht="12.75">
      <c r="A35" s="194" t="s">
        <v>47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769549</v>
      </c>
      <c r="K35" s="13">
        <v>509249</v>
      </c>
    </row>
    <row r="36" spans="1:11" ht="12.75">
      <c r="A36" s="194" t="s">
        <v>192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>
        <v>5400</v>
      </c>
      <c r="K36" s="13">
        <v>25263</v>
      </c>
    </row>
    <row r="37" spans="1:11" ht="12.75">
      <c r="A37" s="194" t="s">
        <v>49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>
        <v>98396</v>
      </c>
      <c r="K37" s="13">
        <v>41944</v>
      </c>
    </row>
    <row r="38" spans="1:11" ht="12.75">
      <c r="A38" s="194" t="s">
        <v>163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 ht="12.75">
      <c r="A39" s="194" t="s">
        <v>164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 ht="12.75">
      <c r="A40" s="194" t="s">
        <v>193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 ht="12.75">
      <c r="A41" s="194" t="s">
        <v>194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 ht="12.75">
      <c r="A42" s="194" t="s">
        <v>183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52712493</v>
      </c>
      <c r="K42" s="12">
        <f>K7+K27+K38+K40</f>
        <v>55689241</v>
      </c>
    </row>
    <row r="43" spans="1:11" ht="12.75">
      <c r="A43" s="194" t="s">
        <v>184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47410059</v>
      </c>
      <c r="K43" s="12">
        <f>K10+K33+K39+K41</f>
        <v>50239179</v>
      </c>
    </row>
    <row r="44" spans="1:11" ht="12.75">
      <c r="A44" s="194" t="s">
        <v>203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5302434</v>
      </c>
      <c r="K44" s="12">
        <f>K42-K43</f>
        <v>5450062</v>
      </c>
    </row>
    <row r="45" spans="1:11" ht="12.75">
      <c r="A45" s="197" t="s">
        <v>186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5302434</v>
      </c>
      <c r="K45" s="12">
        <f>IF(K42&gt;K43,K42-K43,0)</f>
        <v>5450062</v>
      </c>
    </row>
    <row r="46" spans="1:11" ht="12.75">
      <c r="A46" s="197" t="s">
        <v>187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4" t="s">
        <v>185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1423349</v>
      </c>
      <c r="K47" s="13">
        <v>1297710</v>
      </c>
    </row>
    <row r="48" spans="1:11" ht="12.75">
      <c r="A48" s="194" t="s">
        <v>204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3879085</v>
      </c>
      <c r="K48" s="12">
        <f>K44-K47</f>
        <v>4152352</v>
      </c>
    </row>
    <row r="49" spans="1:11" ht="12.75">
      <c r="A49" s="197" t="s">
        <v>160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3879085</v>
      </c>
      <c r="K49" s="12">
        <f>IF(K48&gt;0,K48,0)</f>
        <v>4152352</v>
      </c>
    </row>
    <row r="50" spans="1:11" ht="12.75">
      <c r="A50" s="227" t="s">
        <v>188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0" t="s">
        <v>94</v>
      </c>
      <c r="B51" s="181"/>
      <c r="C51" s="181"/>
      <c r="D51" s="181"/>
      <c r="E51" s="181"/>
      <c r="F51" s="181"/>
      <c r="G51" s="181"/>
      <c r="H51" s="181"/>
      <c r="I51" s="225"/>
      <c r="J51" s="225"/>
      <c r="K51" s="226"/>
    </row>
    <row r="52" spans="1:11" ht="12.75">
      <c r="A52" s="184" t="s">
        <v>154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</row>
    <row r="53" spans="1:11" ht="12.75">
      <c r="A53" s="219" t="s">
        <v>201</v>
      </c>
      <c r="B53" s="220"/>
      <c r="C53" s="220"/>
      <c r="D53" s="220"/>
      <c r="E53" s="220"/>
      <c r="F53" s="220"/>
      <c r="G53" s="220"/>
      <c r="H53" s="221"/>
      <c r="I53" s="4">
        <v>155</v>
      </c>
      <c r="J53" s="13"/>
      <c r="K53" s="13"/>
    </row>
    <row r="54" spans="1:11" ht="12.75">
      <c r="A54" s="219" t="s">
        <v>202</v>
      </c>
      <c r="B54" s="220"/>
      <c r="C54" s="220"/>
      <c r="D54" s="220"/>
      <c r="E54" s="220"/>
      <c r="F54" s="220"/>
      <c r="G54" s="220"/>
      <c r="H54" s="221"/>
      <c r="I54" s="4">
        <v>156</v>
      </c>
      <c r="J54" s="14"/>
      <c r="K54" s="14"/>
    </row>
    <row r="55" spans="1:11" ht="12.75">
      <c r="A55" s="180" t="s">
        <v>157</v>
      </c>
      <c r="B55" s="181"/>
      <c r="C55" s="181"/>
      <c r="D55" s="181"/>
      <c r="E55" s="181"/>
      <c r="F55" s="181"/>
      <c r="G55" s="181"/>
      <c r="H55" s="181"/>
      <c r="I55" s="225"/>
      <c r="J55" s="225"/>
      <c r="K55" s="226"/>
    </row>
    <row r="56" spans="1:11" ht="12.75">
      <c r="A56" s="184" t="s">
        <v>172</v>
      </c>
      <c r="B56" s="185"/>
      <c r="C56" s="185"/>
      <c r="D56" s="185"/>
      <c r="E56" s="185"/>
      <c r="F56" s="185"/>
      <c r="G56" s="185"/>
      <c r="H56" s="205"/>
      <c r="I56" s="21">
        <v>157</v>
      </c>
      <c r="J56" s="11">
        <f>+J48</f>
        <v>3879085</v>
      </c>
      <c r="K56" s="11">
        <f>+K48</f>
        <v>4152352</v>
      </c>
    </row>
    <row r="57" spans="1:11" ht="12.75">
      <c r="A57" s="194" t="s">
        <v>189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4" t="s">
        <v>195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12.75">
      <c r="A59" s="194" t="s">
        <v>196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12.75">
      <c r="A60" s="194" t="s">
        <v>30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 ht="12.75">
      <c r="A61" s="194" t="s">
        <v>197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12.75">
      <c r="A62" s="194" t="s">
        <v>198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12.75">
      <c r="A63" s="194" t="s">
        <v>199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12.75">
      <c r="A64" s="194" t="s">
        <v>200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12.75">
      <c r="A65" s="194" t="s">
        <v>190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 ht="12.75">
      <c r="A66" s="194" t="s">
        <v>161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4" t="s">
        <v>162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3879085</v>
      </c>
      <c r="K67" s="18">
        <f>K56+K66</f>
        <v>4152352</v>
      </c>
    </row>
    <row r="68" spans="1:11" ht="12.75">
      <c r="A68" s="180" t="s">
        <v>156</v>
      </c>
      <c r="B68" s="181"/>
      <c r="C68" s="181"/>
      <c r="D68" s="181"/>
      <c r="E68" s="181"/>
      <c r="F68" s="181"/>
      <c r="G68" s="181"/>
      <c r="H68" s="181"/>
      <c r="I68" s="225"/>
      <c r="J68" s="225"/>
      <c r="K68" s="226"/>
    </row>
    <row r="69" spans="1:11" ht="12.75">
      <c r="A69" s="184" t="s">
        <v>155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</row>
    <row r="70" spans="1:11" ht="12.75">
      <c r="A70" s="219" t="s">
        <v>201</v>
      </c>
      <c r="B70" s="220"/>
      <c r="C70" s="220"/>
      <c r="D70" s="220"/>
      <c r="E70" s="220"/>
      <c r="F70" s="220"/>
      <c r="G70" s="220"/>
      <c r="H70" s="221"/>
      <c r="I70" s="4">
        <v>169</v>
      </c>
      <c r="J70" s="13"/>
      <c r="K70" s="13"/>
    </row>
    <row r="71" spans="1:11" ht="12.75">
      <c r="A71" s="222" t="s">
        <v>202</v>
      </c>
      <c r="B71" s="223"/>
      <c r="C71" s="223"/>
      <c r="D71" s="223"/>
      <c r="E71" s="223"/>
      <c r="F71" s="223"/>
      <c r="G71" s="223"/>
      <c r="H71" s="224"/>
      <c r="I71" s="7">
        <v>170</v>
      </c>
      <c r="J71" s="14"/>
      <c r="K71" s="14"/>
    </row>
  </sheetData>
  <sheetProtection/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26:H26"/>
    <mergeCell ref="A27:H27"/>
    <mergeCell ref="A28:H28"/>
    <mergeCell ref="A29:H29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4">
    <dataValidation type="whole" operator="notEqual" allowBlank="1" showInputMessage="1" showErrorMessage="1" errorTitle="Pogrešan unos" error="Mogu se unijeti samo cjelobrojne vrijednosti." sqref="J47 J70:K71 J53:K54 J56:J67 K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0:K10 J7:K7 J12:K12 J16:K16 J22:K23 J27:K27 J33:K33 J38:K46">
      <formula1>0</formula1>
    </dataValidation>
    <dataValidation allowBlank="1" sqref="J8:K9 J13:K15 J17:K21 J24:K26 J28:K32 J34:K37 K47 K56"/>
  </dataValidation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="110" zoomScaleSheetLayoutView="110" zoomScalePageLayoutView="0" workbookViewId="0" topLeftCell="A19">
      <selection activeCell="H3" sqref="H1:H16384"/>
    </sheetView>
  </sheetViews>
  <sheetFormatPr defaultColWidth="9.140625" defaultRowHeight="12.75"/>
  <sheetData>
    <row r="1" spans="1:10" ht="12.75" customHeight="1">
      <c r="A1" s="241" t="s">
        <v>165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 customHeight="1">
      <c r="A2" s="242" t="s">
        <v>300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2.75">
      <c r="A3" s="16"/>
      <c r="B3" s="17"/>
      <c r="C3" s="17"/>
      <c r="D3" s="17"/>
      <c r="E3" s="17"/>
      <c r="F3" s="17"/>
      <c r="G3" s="17"/>
      <c r="H3" s="17"/>
      <c r="I3" s="19"/>
      <c r="J3" s="3"/>
    </row>
    <row r="4" spans="1:10" ht="12.75">
      <c r="A4" s="243" t="s">
        <v>301</v>
      </c>
      <c r="B4" s="244"/>
      <c r="C4" s="244"/>
      <c r="D4" s="244"/>
      <c r="E4" s="244"/>
      <c r="F4" s="244"/>
      <c r="G4" s="244"/>
      <c r="H4" s="244"/>
      <c r="I4" s="244"/>
      <c r="J4" s="245"/>
    </row>
    <row r="5" spans="1:10" ht="24" thickBot="1">
      <c r="A5" s="246" t="s">
        <v>41</v>
      </c>
      <c r="B5" s="246"/>
      <c r="C5" s="246"/>
      <c r="D5" s="246"/>
      <c r="E5" s="246"/>
      <c r="F5" s="246"/>
      <c r="G5" s="246"/>
      <c r="H5" s="84" t="s">
        <v>249</v>
      </c>
      <c r="I5" s="85">
        <v>2016</v>
      </c>
      <c r="J5" s="85">
        <v>2017</v>
      </c>
    </row>
    <row r="6" spans="1:10" ht="12.75">
      <c r="A6" s="247">
        <v>1</v>
      </c>
      <c r="B6" s="247"/>
      <c r="C6" s="247"/>
      <c r="D6" s="247"/>
      <c r="E6" s="247"/>
      <c r="F6" s="247"/>
      <c r="G6" s="247"/>
      <c r="H6" s="86">
        <v>2</v>
      </c>
      <c r="I6" s="87" t="s">
        <v>251</v>
      </c>
      <c r="J6" s="87" t="s">
        <v>252</v>
      </c>
    </row>
    <row r="7" spans="1:10" ht="12.75">
      <c r="A7" s="235" t="s">
        <v>131</v>
      </c>
      <c r="B7" s="236"/>
      <c r="C7" s="236"/>
      <c r="D7" s="236"/>
      <c r="E7" s="236"/>
      <c r="F7" s="236"/>
      <c r="G7" s="236"/>
      <c r="H7" s="237"/>
      <c r="I7" s="237"/>
      <c r="J7" s="238"/>
    </row>
    <row r="8" spans="1:10" ht="12.75">
      <c r="A8" s="188" t="s">
        <v>167</v>
      </c>
      <c r="B8" s="189"/>
      <c r="C8" s="189"/>
      <c r="D8" s="189"/>
      <c r="E8" s="189"/>
      <c r="F8" s="189"/>
      <c r="G8" s="189"/>
      <c r="H8" s="4">
        <v>1</v>
      </c>
      <c r="I8" s="13">
        <f>8462246+2032+48210765+5239993-203804</f>
        <v>61711232</v>
      </c>
      <c r="J8" s="13">
        <f>9405297+52129929+5787930+30245</f>
        <v>67353401</v>
      </c>
    </row>
    <row r="9" spans="1:10" ht="12.75">
      <c r="A9" s="188" t="s">
        <v>97</v>
      </c>
      <c r="B9" s="189"/>
      <c r="C9" s="189"/>
      <c r="D9" s="189"/>
      <c r="E9" s="189"/>
      <c r="F9" s="189"/>
      <c r="G9" s="189"/>
      <c r="H9" s="4">
        <v>2</v>
      </c>
      <c r="I9" s="13"/>
      <c r="J9" s="13"/>
    </row>
    <row r="10" spans="1:10" ht="12.75">
      <c r="A10" s="188" t="s">
        <v>98</v>
      </c>
      <c r="B10" s="189"/>
      <c r="C10" s="189"/>
      <c r="D10" s="189"/>
      <c r="E10" s="189"/>
      <c r="F10" s="189"/>
      <c r="G10" s="189"/>
      <c r="H10" s="4">
        <v>3</v>
      </c>
      <c r="I10" s="13">
        <v>200571</v>
      </c>
      <c r="J10" s="13">
        <v>206325</v>
      </c>
    </row>
    <row r="11" spans="1:10" ht="12.75">
      <c r="A11" s="188" t="s">
        <v>99</v>
      </c>
      <c r="B11" s="189"/>
      <c r="C11" s="189"/>
      <c r="D11" s="189"/>
      <c r="E11" s="189"/>
      <c r="F11" s="189"/>
      <c r="G11" s="189"/>
      <c r="H11" s="4">
        <v>4</v>
      </c>
      <c r="I11" s="13">
        <v>215843</v>
      </c>
      <c r="J11" s="13">
        <v>110350</v>
      </c>
    </row>
    <row r="12" spans="1:10" ht="12.75">
      <c r="A12" s="188" t="s">
        <v>100</v>
      </c>
      <c r="B12" s="189"/>
      <c r="C12" s="189"/>
      <c r="D12" s="189"/>
      <c r="E12" s="189"/>
      <c r="F12" s="189"/>
      <c r="G12" s="189"/>
      <c r="H12" s="4">
        <v>5</v>
      </c>
      <c r="I12" s="13">
        <f>97799+1109023-200571</f>
        <v>1006251</v>
      </c>
      <c r="J12" s="13">
        <f>69158526-67639831</f>
        <v>1518695</v>
      </c>
    </row>
    <row r="13" spans="1:10" ht="12.75">
      <c r="A13" s="194" t="s">
        <v>166</v>
      </c>
      <c r="B13" s="195"/>
      <c r="C13" s="195"/>
      <c r="D13" s="195"/>
      <c r="E13" s="195"/>
      <c r="F13" s="195"/>
      <c r="G13" s="195"/>
      <c r="H13" s="4">
        <v>6</v>
      </c>
      <c r="I13" s="9">
        <f>SUM(I8:I12)</f>
        <v>63133897</v>
      </c>
      <c r="J13" s="12">
        <f>SUM(J8:J12)</f>
        <v>69188771</v>
      </c>
    </row>
    <row r="14" spans="1:10" ht="12.75">
      <c r="A14" s="188" t="s">
        <v>101</v>
      </c>
      <c r="B14" s="189"/>
      <c r="C14" s="189"/>
      <c r="D14" s="189"/>
      <c r="E14" s="189"/>
      <c r="F14" s="189"/>
      <c r="G14" s="189"/>
      <c r="H14" s="4">
        <v>7</v>
      </c>
      <c r="I14" s="13">
        <f>7801058+16517368+7164+576-400682</f>
        <v>23925484</v>
      </c>
      <c r="J14" s="13">
        <f>8520461+18679033+39558+226-494218</f>
        <v>26745060</v>
      </c>
    </row>
    <row r="15" spans="1:10" ht="12.75">
      <c r="A15" s="188" t="s">
        <v>102</v>
      </c>
      <c r="B15" s="189"/>
      <c r="C15" s="189"/>
      <c r="D15" s="189"/>
      <c r="E15" s="189"/>
      <c r="F15" s="189"/>
      <c r="G15" s="189"/>
      <c r="H15" s="4">
        <v>8</v>
      </c>
      <c r="I15" s="13">
        <f>21642927+353000+167549</f>
        <v>22163476</v>
      </c>
      <c r="J15" s="13">
        <f>22752715+738337+969986</f>
        <v>24461038</v>
      </c>
    </row>
    <row r="16" spans="1:10" ht="12.75">
      <c r="A16" s="188" t="s">
        <v>103</v>
      </c>
      <c r="B16" s="189"/>
      <c r="C16" s="189"/>
      <c r="D16" s="189"/>
      <c r="E16" s="189"/>
      <c r="F16" s="189"/>
      <c r="G16" s="189"/>
      <c r="H16" s="4">
        <v>9</v>
      </c>
      <c r="I16" s="13">
        <f>236110+160261+4311</f>
        <v>400682</v>
      </c>
      <c r="J16" s="13">
        <v>494218</v>
      </c>
    </row>
    <row r="17" spans="1:10" ht="12.75">
      <c r="A17" s="188" t="s">
        <v>104</v>
      </c>
      <c r="B17" s="189"/>
      <c r="C17" s="189"/>
      <c r="D17" s="189"/>
      <c r="E17" s="189"/>
      <c r="F17" s="189"/>
      <c r="G17" s="189"/>
      <c r="H17" s="4">
        <v>10</v>
      </c>
      <c r="I17" s="13"/>
      <c r="J17" s="13"/>
    </row>
    <row r="18" spans="1:10" ht="12.75">
      <c r="A18" s="188" t="s">
        <v>105</v>
      </c>
      <c r="B18" s="189"/>
      <c r="C18" s="189"/>
      <c r="D18" s="189"/>
      <c r="E18" s="189"/>
      <c r="F18" s="189"/>
      <c r="G18" s="189"/>
      <c r="H18" s="4">
        <v>11</v>
      </c>
      <c r="I18" s="13">
        <f>3629918+963994+1160347</f>
        <v>5754259</v>
      </c>
      <c r="J18" s="13">
        <f>4507281+1006880+2207247</f>
        <v>7721408</v>
      </c>
    </row>
    <row r="19" spans="1:10" ht="12.75">
      <c r="A19" s="188" t="s">
        <v>106</v>
      </c>
      <c r="B19" s="189"/>
      <c r="C19" s="189"/>
      <c r="D19" s="189"/>
      <c r="E19" s="189"/>
      <c r="F19" s="189"/>
      <c r="G19" s="189"/>
      <c r="H19" s="4">
        <v>12</v>
      </c>
      <c r="I19" s="13">
        <f>303633+39805+88227</f>
        <v>431665</v>
      </c>
      <c r="J19" s="13">
        <f>373200+47811+100901+2</f>
        <v>521914</v>
      </c>
    </row>
    <row r="20" spans="1:10" ht="12.75">
      <c r="A20" s="194" t="s">
        <v>32</v>
      </c>
      <c r="B20" s="195"/>
      <c r="C20" s="195"/>
      <c r="D20" s="195"/>
      <c r="E20" s="195"/>
      <c r="F20" s="195"/>
      <c r="G20" s="195"/>
      <c r="H20" s="4">
        <v>13</v>
      </c>
      <c r="I20" s="9">
        <f>SUM(I14:I19)</f>
        <v>52675566</v>
      </c>
      <c r="J20" s="12">
        <f>SUM(J14:J19)</f>
        <v>59943638</v>
      </c>
    </row>
    <row r="21" spans="1:10" ht="12.75">
      <c r="A21" s="194" t="s">
        <v>87</v>
      </c>
      <c r="B21" s="239"/>
      <c r="C21" s="239"/>
      <c r="D21" s="239"/>
      <c r="E21" s="239"/>
      <c r="F21" s="239"/>
      <c r="G21" s="239"/>
      <c r="H21" s="4">
        <v>14</v>
      </c>
      <c r="I21" s="9">
        <f>IF(I13&gt;I20,I13-I20,0)</f>
        <v>10458331</v>
      </c>
      <c r="J21" s="12">
        <f>IF(J13&gt;J20,J13-J20,0)</f>
        <v>9245133</v>
      </c>
    </row>
    <row r="22" spans="1:10" ht="12.75">
      <c r="A22" s="200" t="s">
        <v>88</v>
      </c>
      <c r="B22" s="240"/>
      <c r="C22" s="240"/>
      <c r="D22" s="240"/>
      <c r="E22" s="240"/>
      <c r="F22" s="240"/>
      <c r="G22" s="240"/>
      <c r="H22" s="4">
        <v>15</v>
      </c>
      <c r="I22" s="9">
        <f>IF(I20&gt;I13,I20-I13,0)</f>
        <v>0</v>
      </c>
      <c r="J22" s="12">
        <f>IF(J20&gt;J13,J20-J13,0)</f>
        <v>0</v>
      </c>
    </row>
    <row r="23" spans="1:10" ht="12.75">
      <c r="A23" s="235" t="s">
        <v>132</v>
      </c>
      <c r="B23" s="236"/>
      <c r="C23" s="236"/>
      <c r="D23" s="236"/>
      <c r="E23" s="236"/>
      <c r="F23" s="236"/>
      <c r="G23" s="236"/>
      <c r="H23" s="237"/>
      <c r="I23" s="237"/>
      <c r="J23" s="238"/>
    </row>
    <row r="24" spans="1:10" ht="12.75">
      <c r="A24" s="188" t="s">
        <v>137</v>
      </c>
      <c r="B24" s="189"/>
      <c r="C24" s="189"/>
      <c r="D24" s="189"/>
      <c r="E24" s="189"/>
      <c r="F24" s="189"/>
      <c r="G24" s="189"/>
      <c r="H24" s="4">
        <v>16</v>
      </c>
      <c r="I24" s="8"/>
      <c r="J24" s="13"/>
    </row>
    <row r="25" spans="1:10" ht="12.75">
      <c r="A25" s="188" t="s">
        <v>138</v>
      </c>
      <c r="B25" s="189"/>
      <c r="C25" s="189"/>
      <c r="D25" s="189"/>
      <c r="E25" s="189"/>
      <c r="F25" s="189"/>
      <c r="G25" s="189"/>
      <c r="H25" s="4">
        <v>17</v>
      </c>
      <c r="I25" s="8"/>
      <c r="J25" s="13"/>
    </row>
    <row r="26" spans="1:10" ht="12.75">
      <c r="A26" s="188" t="s">
        <v>33</v>
      </c>
      <c r="B26" s="189"/>
      <c r="C26" s="189"/>
      <c r="D26" s="189"/>
      <c r="E26" s="189"/>
      <c r="F26" s="189"/>
      <c r="G26" s="189"/>
      <c r="H26" s="4">
        <v>18</v>
      </c>
      <c r="I26" s="8"/>
      <c r="J26" s="13"/>
    </row>
    <row r="27" spans="1:10" ht="12.75">
      <c r="A27" s="188" t="s">
        <v>34</v>
      </c>
      <c r="B27" s="189"/>
      <c r="C27" s="189"/>
      <c r="D27" s="189"/>
      <c r="E27" s="189"/>
      <c r="F27" s="189"/>
      <c r="G27" s="189"/>
      <c r="H27" s="4">
        <v>19</v>
      </c>
      <c r="I27" s="8"/>
      <c r="J27" s="13"/>
    </row>
    <row r="28" spans="1:10" ht="12.75">
      <c r="A28" s="188" t="s">
        <v>139</v>
      </c>
      <c r="B28" s="189"/>
      <c r="C28" s="189"/>
      <c r="D28" s="189"/>
      <c r="E28" s="189"/>
      <c r="F28" s="189"/>
      <c r="G28" s="189"/>
      <c r="H28" s="4">
        <v>20</v>
      </c>
      <c r="I28" s="8"/>
      <c r="J28" s="13"/>
    </row>
    <row r="29" spans="1:10" ht="12.75">
      <c r="A29" s="194" t="s">
        <v>93</v>
      </c>
      <c r="B29" s="195"/>
      <c r="C29" s="195"/>
      <c r="D29" s="195"/>
      <c r="E29" s="195"/>
      <c r="F29" s="195"/>
      <c r="G29" s="195"/>
      <c r="H29" s="4">
        <v>21</v>
      </c>
      <c r="I29" s="9">
        <f>SUM(I24:I28)</f>
        <v>0</v>
      </c>
      <c r="J29" s="12">
        <f>SUM(J24:J28)</f>
        <v>0</v>
      </c>
    </row>
    <row r="30" spans="1:10" ht="12.75">
      <c r="A30" s="188" t="s">
        <v>2</v>
      </c>
      <c r="B30" s="189"/>
      <c r="C30" s="189"/>
      <c r="D30" s="189"/>
      <c r="E30" s="189"/>
      <c r="F30" s="189"/>
      <c r="G30" s="189"/>
      <c r="H30" s="4">
        <v>22</v>
      </c>
      <c r="I30" s="13">
        <v>3015324</v>
      </c>
      <c r="J30" s="13">
        <f>915082+3316991</f>
        <v>4232073</v>
      </c>
    </row>
    <row r="31" spans="1:10" ht="12.75">
      <c r="A31" s="188" t="s">
        <v>3</v>
      </c>
      <c r="B31" s="189"/>
      <c r="C31" s="189"/>
      <c r="D31" s="189"/>
      <c r="E31" s="189"/>
      <c r="F31" s="189"/>
      <c r="G31" s="189"/>
      <c r="H31" s="4">
        <v>23</v>
      </c>
      <c r="I31" s="13"/>
      <c r="J31" s="13"/>
    </row>
    <row r="32" spans="1:10" ht="12.75">
      <c r="A32" s="188" t="s">
        <v>4</v>
      </c>
      <c r="B32" s="189"/>
      <c r="C32" s="189"/>
      <c r="D32" s="189"/>
      <c r="E32" s="189"/>
      <c r="F32" s="189"/>
      <c r="G32" s="189"/>
      <c r="H32" s="4">
        <v>24</v>
      </c>
      <c r="I32" s="13">
        <f>7419991+34045+58352</f>
        <v>7512388</v>
      </c>
      <c r="J32" s="13">
        <f>7619885-4232073</f>
        <v>3387812</v>
      </c>
    </row>
    <row r="33" spans="1:10" ht="12.75">
      <c r="A33" s="194" t="s">
        <v>35</v>
      </c>
      <c r="B33" s="195"/>
      <c r="C33" s="195"/>
      <c r="D33" s="195"/>
      <c r="E33" s="195"/>
      <c r="F33" s="195"/>
      <c r="G33" s="195"/>
      <c r="H33" s="4">
        <v>25</v>
      </c>
      <c r="I33" s="9">
        <f>SUM(I30:I32)</f>
        <v>10527712</v>
      </c>
      <c r="J33" s="12">
        <f>SUM(J30:J32)</f>
        <v>7619885</v>
      </c>
    </row>
    <row r="34" spans="1:10" ht="12.75">
      <c r="A34" s="194" t="s">
        <v>89</v>
      </c>
      <c r="B34" s="195"/>
      <c r="C34" s="195"/>
      <c r="D34" s="195"/>
      <c r="E34" s="195"/>
      <c r="F34" s="195"/>
      <c r="G34" s="195"/>
      <c r="H34" s="4">
        <v>26</v>
      </c>
      <c r="I34" s="9">
        <f>IF(I29&gt;I33,I29-I33,0)</f>
        <v>0</v>
      </c>
      <c r="J34" s="12">
        <f>IF(J29&gt;J33,J29-J33,0)</f>
        <v>0</v>
      </c>
    </row>
    <row r="35" spans="1:10" ht="12.75">
      <c r="A35" s="194" t="s">
        <v>90</v>
      </c>
      <c r="B35" s="195"/>
      <c r="C35" s="195"/>
      <c r="D35" s="195"/>
      <c r="E35" s="195"/>
      <c r="F35" s="195"/>
      <c r="G35" s="195"/>
      <c r="H35" s="4">
        <v>27</v>
      </c>
      <c r="I35" s="9">
        <f>IF(I33&gt;I29,I33-I29,0)</f>
        <v>10527712</v>
      </c>
      <c r="J35" s="12">
        <f>IF(J33&gt;J29,J33-J29,0)</f>
        <v>7619885</v>
      </c>
    </row>
    <row r="36" spans="1:10" ht="12.75">
      <c r="A36" s="235" t="s">
        <v>133</v>
      </c>
      <c r="B36" s="236"/>
      <c r="C36" s="236"/>
      <c r="D36" s="236"/>
      <c r="E36" s="236"/>
      <c r="F36" s="236"/>
      <c r="G36" s="236"/>
      <c r="H36" s="237">
        <v>0</v>
      </c>
      <c r="I36" s="237"/>
      <c r="J36" s="238"/>
    </row>
    <row r="37" spans="1:10" ht="12.75">
      <c r="A37" s="188" t="s">
        <v>145</v>
      </c>
      <c r="B37" s="189"/>
      <c r="C37" s="189"/>
      <c r="D37" s="189"/>
      <c r="E37" s="189"/>
      <c r="F37" s="189"/>
      <c r="G37" s="189"/>
      <c r="H37" s="4">
        <v>28</v>
      </c>
      <c r="I37" s="8"/>
      <c r="J37" s="13"/>
    </row>
    <row r="38" spans="1:10" ht="12.75">
      <c r="A38" s="188" t="s">
        <v>23</v>
      </c>
      <c r="B38" s="189"/>
      <c r="C38" s="189"/>
      <c r="D38" s="189"/>
      <c r="E38" s="189"/>
      <c r="F38" s="189"/>
      <c r="G38" s="189"/>
      <c r="H38" s="4">
        <v>29</v>
      </c>
      <c r="I38" s="13">
        <f>6928687+97714</f>
        <v>7026401</v>
      </c>
      <c r="J38" s="13">
        <v>7000000</v>
      </c>
    </row>
    <row r="39" spans="1:10" ht="12.75">
      <c r="A39" s="188" t="s">
        <v>24</v>
      </c>
      <c r="B39" s="189"/>
      <c r="C39" s="189"/>
      <c r="D39" s="189"/>
      <c r="E39" s="189"/>
      <c r="F39" s="189"/>
      <c r="G39" s="189"/>
      <c r="H39" s="4">
        <v>30</v>
      </c>
      <c r="I39" s="13">
        <f>1359+709691</f>
        <v>711050</v>
      </c>
      <c r="J39" s="13">
        <f>864+127872</f>
        <v>128736</v>
      </c>
    </row>
    <row r="40" spans="1:10" ht="12.75">
      <c r="A40" s="194" t="s">
        <v>36</v>
      </c>
      <c r="B40" s="195"/>
      <c r="C40" s="195"/>
      <c r="D40" s="195"/>
      <c r="E40" s="195"/>
      <c r="F40" s="195"/>
      <c r="G40" s="195"/>
      <c r="H40" s="4">
        <v>31</v>
      </c>
      <c r="I40" s="9">
        <f>SUM(I37:I39)</f>
        <v>7737451</v>
      </c>
      <c r="J40" s="12">
        <f>SUM(J37:J39)</f>
        <v>7128736</v>
      </c>
    </row>
    <row r="41" spans="1:10" ht="12.75">
      <c r="A41" s="188" t="s">
        <v>25</v>
      </c>
      <c r="B41" s="189"/>
      <c r="C41" s="189"/>
      <c r="D41" s="189"/>
      <c r="E41" s="189"/>
      <c r="F41" s="189"/>
      <c r="G41" s="189"/>
      <c r="H41" s="4">
        <v>32</v>
      </c>
      <c r="I41" s="13">
        <v>6882204</v>
      </c>
      <c r="J41" s="13">
        <v>7077051</v>
      </c>
    </row>
    <row r="42" spans="1:10" ht="12.75">
      <c r="A42" s="188" t="s">
        <v>26</v>
      </c>
      <c r="B42" s="189"/>
      <c r="C42" s="189"/>
      <c r="D42" s="189"/>
      <c r="E42" s="189"/>
      <c r="F42" s="189"/>
      <c r="G42" s="189"/>
      <c r="H42" s="4">
        <v>33</v>
      </c>
      <c r="I42" s="13"/>
      <c r="J42" s="13"/>
    </row>
    <row r="43" spans="1:10" ht="12.75">
      <c r="A43" s="188" t="s">
        <v>27</v>
      </c>
      <c r="B43" s="189"/>
      <c r="C43" s="189"/>
      <c r="D43" s="189"/>
      <c r="E43" s="189"/>
      <c r="F43" s="189"/>
      <c r="G43" s="189"/>
      <c r="H43" s="4">
        <v>34</v>
      </c>
      <c r="I43" s="13"/>
      <c r="J43" s="13"/>
    </row>
    <row r="44" spans="1:10" ht="12.75">
      <c r="A44" s="188" t="s">
        <v>28</v>
      </c>
      <c r="B44" s="189"/>
      <c r="C44" s="189"/>
      <c r="D44" s="189"/>
      <c r="E44" s="189"/>
      <c r="F44" s="189"/>
      <c r="G44" s="189"/>
      <c r="H44" s="4">
        <v>35</v>
      </c>
      <c r="I44" s="13"/>
      <c r="J44" s="13"/>
    </row>
    <row r="45" spans="1:10" ht="12.75">
      <c r="A45" s="188" t="s">
        <v>29</v>
      </c>
      <c r="B45" s="189"/>
      <c r="C45" s="189"/>
      <c r="D45" s="189"/>
      <c r="E45" s="189"/>
      <c r="F45" s="189"/>
      <c r="G45" s="189"/>
      <c r="H45" s="4">
        <v>36</v>
      </c>
      <c r="I45" s="13">
        <f>65713+1404880</f>
        <v>1470593</v>
      </c>
      <c r="J45" s="13">
        <f>120043+1029</f>
        <v>121072</v>
      </c>
    </row>
    <row r="46" spans="1:10" ht="12.75">
      <c r="A46" s="194" t="s">
        <v>126</v>
      </c>
      <c r="B46" s="195"/>
      <c r="C46" s="195"/>
      <c r="D46" s="195"/>
      <c r="E46" s="195"/>
      <c r="F46" s="195"/>
      <c r="G46" s="195"/>
      <c r="H46" s="4">
        <v>37</v>
      </c>
      <c r="I46" s="9">
        <f>SUM(I41:I45)</f>
        <v>8352797</v>
      </c>
      <c r="J46" s="12">
        <f>SUM(J41:J45)</f>
        <v>7198123</v>
      </c>
    </row>
    <row r="47" spans="1:10" ht="12.75">
      <c r="A47" s="194" t="s">
        <v>135</v>
      </c>
      <c r="B47" s="195"/>
      <c r="C47" s="195"/>
      <c r="D47" s="195"/>
      <c r="E47" s="195"/>
      <c r="F47" s="195"/>
      <c r="G47" s="195"/>
      <c r="H47" s="4">
        <v>38</v>
      </c>
      <c r="I47" s="9">
        <f>IF(I40&gt;I46,I40-I46,0)</f>
        <v>0</v>
      </c>
      <c r="J47" s="12">
        <f>IF(J40&gt;J46,J40-J46,0)</f>
        <v>0</v>
      </c>
    </row>
    <row r="48" spans="1:10" ht="12.75">
      <c r="A48" s="194" t="s">
        <v>136</v>
      </c>
      <c r="B48" s="195"/>
      <c r="C48" s="195"/>
      <c r="D48" s="195"/>
      <c r="E48" s="195"/>
      <c r="F48" s="195"/>
      <c r="G48" s="195"/>
      <c r="H48" s="4">
        <v>39</v>
      </c>
      <c r="I48" s="9">
        <f>IF(I46&gt;I40,I46-I40,0)</f>
        <v>615346</v>
      </c>
      <c r="J48" s="12">
        <f>IF(J46&gt;J40,J46-J40,0)</f>
        <v>69387</v>
      </c>
    </row>
    <row r="49" spans="1:10" ht="12.75">
      <c r="A49" s="194" t="s">
        <v>127</v>
      </c>
      <c r="B49" s="195"/>
      <c r="C49" s="195"/>
      <c r="D49" s="195"/>
      <c r="E49" s="195"/>
      <c r="F49" s="195"/>
      <c r="G49" s="195"/>
      <c r="H49" s="4">
        <v>40</v>
      </c>
      <c r="I49" s="9">
        <f>IF(I21-I22+I34-I35+I47-I48&gt;0,I21-I22+I34-I35+I47-I48,0)</f>
        <v>0</v>
      </c>
      <c r="J49" s="12">
        <f>IF(J21-J22+J34-J35+J47-J48&gt;0,J21-J22+J34-J35+J47-J48,0)</f>
        <v>1555861</v>
      </c>
    </row>
    <row r="50" spans="1:10" ht="12.75">
      <c r="A50" s="194" t="s">
        <v>12</v>
      </c>
      <c r="B50" s="195"/>
      <c r="C50" s="195"/>
      <c r="D50" s="195"/>
      <c r="E50" s="195"/>
      <c r="F50" s="195"/>
      <c r="G50" s="195"/>
      <c r="H50" s="4">
        <v>41</v>
      </c>
      <c r="I50" s="9">
        <f>IF(I22-I21+I35-I34+I48-I47&gt;0,I22-I21+I35-I34+I48-I47,0)</f>
        <v>684727</v>
      </c>
      <c r="J50" s="12">
        <f>IF(J22-J21+J35-J34+J48-J47&gt;0,J22-J21+J35-J34+J48-J47,0)</f>
        <v>0</v>
      </c>
    </row>
    <row r="51" spans="1:10" ht="12.75">
      <c r="A51" s="194" t="s">
        <v>134</v>
      </c>
      <c r="B51" s="195"/>
      <c r="C51" s="195"/>
      <c r="D51" s="195"/>
      <c r="E51" s="195"/>
      <c r="F51" s="195"/>
      <c r="G51" s="195"/>
      <c r="H51" s="4">
        <v>42</v>
      </c>
      <c r="I51" s="13">
        <v>3702859</v>
      </c>
      <c r="J51" s="13">
        <v>3018132</v>
      </c>
    </row>
    <row r="52" spans="1:10" ht="12.75">
      <c r="A52" s="194" t="s">
        <v>147</v>
      </c>
      <c r="B52" s="195"/>
      <c r="C52" s="195"/>
      <c r="D52" s="195"/>
      <c r="E52" s="195"/>
      <c r="F52" s="195"/>
      <c r="G52" s="195"/>
      <c r="H52" s="4">
        <v>43</v>
      </c>
      <c r="I52" s="98">
        <f>+I21+I34+I47</f>
        <v>10458331</v>
      </c>
      <c r="J52" s="98">
        <f>+J21+J34+J47</f>
        <v>9245133</v>
      </c>
    </row>
    <row r="53" spans="1:10" ht="12.75">
      <c r="A53" s="194" t="s">
        <v>148</v>
      </c>
      <c r="B53" s="195"/>
      <c r="C53" s="195"/>
      <c r="D53" s="195"/>
      <c r="E53" s="195"/>
      <c r="F53" s="195"/>
      <c r="G53" s="195"/>
      <c r="H53" s="4">
        <v>44</v>
      </c>
      <c r="I53" s="98">
        <f>+I22+I35+I48</f>
        <v>11143058</v>
      </c>
      <c r="J53" s="98">
        <f>+J22+J35+J48</f>
        <v>7689272</v>
      </c>
    </row>
    <row r="54" spans="1:10" ht="12.75">
      <c r="A54" s="200" t="s">
        <v>149</v>
      </c>
      <c r="B54" s="201"/>
      <c r="C54" s="201"/>
      <c r="D54" s="201"/>
      <c r="E54" s="201"/>
      <c r="F54" s="201"/>
      <c r="G54" s="201"/>
      <c r="H54" s="7">
        <v>45</v>
      </c>
      <c r="I54" s="10">
        <f>I51+I52-I53</f>
        <v>3018132</v>
      </c>
      <c r="J54" s="18">
        <f>J51+J52-J53</f>
        <v>4573993</v>
      </c>
    </row>
    <row r="55" spans="1:10" ht="12.75">
      <c r="A55" s="88" t="s">
        <v>146</v>
      </c>
      <c r="B55" s="82"/>
      <c r="C55" s="82"/>
      <c r="D55" s="82"/>
      <c r="E55" s="82"/>
      <c r="F55" s="82"/>
      <c r="G55" s="82"/>
      <c r="H55" s="82"/>
      <c r="I55" s="82"/>
      <c r="J55" s="82"/>
    </row>
  </sheetData>
  <sheetProtection/>
  <mergeCells count="53">
    <mergeCell ref="A1:J1"/>
    <mergeCell ref="A2:J2"/>
    <mergeCell ref="A15:G15"/>
    <mergeCell ref="A16:G16"/>
    <mergeCell ref="A4:J4"/>
    <mergeCell ref="A5:G5"/>
    <mergeCell ref="A6:G6"/>
    <mergeCell ref="A7:J7"/>
    <mergeCell ref="A8:G8"/>
    <mergeCell ref="A9:G9"/>
    <mergeCell ref="A10:G10"/>
    <mergeCell ref="A11:G11"/>
    <mergeCell ref="A12:G12"/>
    <mergeCell ref="A13:G13"/>
    <mergeCell ref="A14:G14"/>
    <mergeCell ref="A31:G31"/>
    <mergeCell ref="A26:G26"/>
    <mergeCell ref="A27:G27"/>
    <mergeCell ref="A28:G28"/>
    <mergeCell ref="A29:G29"/>
    <mergeCell ref="A32:G32"/>
    <mergeCell ref="A17:G17"/>
    <mergeCell ref="A18:G18"/>
    <mergeCell ref="A19:G19"/>
    <mergeCell ref="A20:G20"/>
    <mergeCell ref="A21:G21"/>
    <mergeCell ref="A22:G22"/>
    <mergeCell ref="A23:J23"/>
    <mergeCell ref="A24:G24"/>
    <mergeCell ref="A25:G25"/>
    <mergeCell ref="A30:G30"/>
    <mergeCell ref="A47:G47"/>
    <mergeCell ref="A48:G48"/>
    <mergeCell ref="A33:G33"/>
    <mergeCell ref="A34:G34"/>
    <mergeCell ref="A35:G35"/>
    <mergeCell ref="A36:J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53:G53"/>
    <mergeCell ref="A54:G54"/>
    <mergeCell ref="A49:G49"/>
    <mergeCell ref="A50:G50"/>
    <mergeCell ref="A51:G51"/>
    <mergeCell ref="A52:G52"/>
  </mergeCells>
  <dataValidations count="4">
    <dataValidation type="whole" operator="notEqual" allowBlank="1" showInputMessage="1" showErrorMessage="1" errorTitle="Pogrešan unos" error="Mogu se unijeti samo cjelobrojne pozitivne vrijednosti." sqref="I54:J54">
      <formula1>9999999999</formula1>
    </dataValidation>
    <dataValidation type="whole" operator="notEqual" allowBlank="1" showInputMessage="1" showErrorMessage="1" errorTitle="Pogrešan unos" error="Mogu se unijeti samo cjelobrojne vrijednosti." sqref="I37:J37 I52:J53 I24:J2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I13:J13 I20:J23 I29:J29 I33:J36 I40:J40 I46:J50">
      <formula1>0</formula1>
    </dataValidation>
    <dataValidation allowBlank="1" sqref="I8:J12 I14:J19 I30:J32 I38:J39 I41:J45 I51:J51"/>
  </dataValidation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view="pageBreakPreview" zoomScale="110" zoomScaleSheetLayoutView="110" zoomScalePageLayoutView="0" workbookViewId="0" topLeftCell="A10">
      <selection activeCell="A3" sqref="A3:I3"/>
    </sheetView>
  </sheetViews>
  <sheetFormatPr defaultColWidth="9.140625" defaultRowHeight="12.75"/>
  <cols>
    <col min="1" max="4" width="9.140625" style="90" customWidth="1"/>
    <col min="5" max="5" width="10.28125" style="90" bestFit="1" customWidth="1"/>
    <col min="6" max="7" width="9.140625" style="90" customWidth="1"/>
    <col min="8" max="8" width="10.140625" style="90" customWidth="1"/>
    <col min="9" max="9" width="9.8515625" style="90" bestFit="1" customWidth="1"/>
    <col min="10" max="16384" width="9.140625" style="90" customWidth="1"/>
  </cols>
  <sheetData>
    <row r="1" spans="1:10" ht="12.75">
      <c r="A1" s="261" t="s">
        <v>250</v>
      </c>
      <c r="B1" s="262"/>
      <c r="C1" s="262"/>
      <c r="D1" s="262"/>
      <c r="E1" s="262"/>
      <c r="F1" s="262"/>
      <c r="G1" s="262"/>
      <c r="H1" s="262"/>
      <c r="I1" s="262"/>
      <c r="J1" s="89"/>
    </row>
    <row r="2" spans="1:10" ht="12.75">
      <c r="A2" s="258" t="s">
        <v>302</v>
      </c>
      <c r="B2" s="258"/>
      <c r="C2" s="258"/>
      <c r="D2" s="258"/>
      <c r="E2" s="258"/>
      <c r="F2" s="258"/>
      <c r="G2" s="258"/>
      <c r="H2" s="258"/>
      <c r="I2" s="258"/>
      <c r="J2" s="91"/>
    </row>
    <row r="3" spans="1:10" ht="12.75">
      <c r="A3" s="108"/>
      <c r="B3" s="108"/>
      <c r="C3" s="108"/>
      <c r="D3" s="108"/>
      <c r="E3" s="108"/>
      <c r="F3" s="108"/>
      <c r="G3" s="108"/>
      <c r="H3" s="108"/>
      <c r="I3" s="108"/>
      <c r="J3" s="91"/>
    </row>
    <row r="4" spans="1:9" ht="24" thickBot="1">
      <c r="A4" s="252" t="s">
        <v>41</v>
      </c>
      <c r="B4" s="252"/>
      <c r="C4" s="252"/>
      <c r="D4" s="252"/>
      <c r="E4" s="252"/>
      <c r="F4" s="252"/>
      <c r="G4" s="92" t="s">
        <v>273</v>
      </c>
      <c r="H4" s="93">
        <v>2016</v>
      </c>
      <c r="I4" s="93">
        <v>2017</v>
      </c>
    </row>
    <row r="5" spans="1:9" ht="12.75">
      <c r="A5" s="253">
        <v>1</v>
      </c>
      <c r="B5" s="253"/>
      <c r="C5" s="253"/>
      <c r="D5" s="253"/>
      <c r="E5" s="253"/>
      <c r="F5" s="253"/>
      <c r="G5" s="95">
        <v>2</v>
      </c>
      <c r="H5" s="94" t="s">
        <v>251</v>
      </c>
      <c r="I5" s="94" t="s">
        <v>252</v>
      </c>
    </row>
    <row r="6" spans="1:9" ht="12.75">
      <c r="A6" s="250" t="s">
        <v>253</v>
      </c>
      <c r="B6" s="251"/>
      <c r="C6" s="251"/>
      <c r="D6" s="251"/>
      <c r="E6" s="251"/>
      <c r="F6" s="251"/>
      <c r="G6" s="96">
        <v>1</v>
      </c>
      <c r="H6" s="97">
        <v>103144000</v>
      </c>
      <c r="I6" s="97">
        <v>103144000</v>
      </c>
    </row>
    <row r="7" spans="1:9" ht="12.75">
      <c r="A7" s="250" t="s">
        <v>254</v>
      </c>
      <c r="B7" s="251"/>
      <c r="C7" s="251"/>
      <c r="D7" s="251"/>
      <c r="E7" s="251"/>
      <c r="F7" s="251"/>
      <c r="G7" s="96">
        <v>2</v>
      </c>
      <c r="H7" s="98"/>
      <c r="I7" s="98"/>
    </row>
    <row r="8" spans="1:9" ht="12.75">
      <c r="A8" s="250" t="s">
        <v>255</v>
      </c>
      <c r="B8" s="251"/>
      <c r="C8" s="251"/>
      <c r="D8" s="251"/>
      <c r="E8" s="251"/>
      <c r="F8" s="251"/>
      <c r="G8" s="96">
        <v>3</v>
      </c>
      <c r="H8" s="98">
        <v>9808842</v>
      </c>
      <c r="I8" s="98">
        <v>9808842</v>
      </c>
    </row>
    <row r="9" spans="1:9" ht="12.75">
      <c r="A9" s="250" t="s">
        <v>256</v>
      </c>
      <c r="B9" s="251"/>
      <c r="C9" s="251"/>
      <c r="D9" s="251"/>
      <c r="E9" s="251"/>
      <c r="F9" s="251"/>
      <c r="G9" s="96">
        <v>4</v>
      </c>
      <c r="H9" s="98">
        <v>-17097935</v>
      </c>
      <c r="I9" s="98">
        <v>-13218851</v>
      </c>
    </row>
    <row r="10" spans="1:9" ht="12.75">
      <c r="A10" s="250" t="s">
        <v>257</v>
      </c>
      <c r="B10" s="251"/>
      <c r="C10" s="251"/>
      <c r="D10" s="251"/>
      <c r="E10" s="251"/>
      <c r="F10" s="251"/>
      <c r="G10" s="96">
        <v>5</v>
      </c>
      <c r="H10" s="98">
        <v>3879085</v>
      </c>
      <c r="I10" s="98">
        <v>4152352</v>
      </c>
    </row>
    <row r="11" spans="1:9" ht="12.75">
      <c r="A11" s="250" t="s">
        <v>258</v>
      </c>
      <c r="B11" s="251"/>
      <c r="C11" s="251"/>
      <c r="D11" s="251"/>
      <c r="E11" s="251"/>
      <c r="F11" s="251"/>
      <c r="G11" s="96">
        <v>6</v>
      </c>
      <c r="H11" s="98">
        <v>27164505</v>
      </c>
      <c r="I11" s="98">
        <v>27164505</v>
      </c>
    </row>
    <row r="12" spans="1:9" ht="12.75">
      <c r="A12" s="250" t="s">
        <v>259</v>
      </c>
      <c r="B12" s="251"/>
      <c r="C12" s="251"/>
      <c r="D12" s="251"/>
      <c r="E12" s="251"/>
      <c r="F12" s="251"/>
      <c r="G12" s="96">
        <v>7</v>
      </c>
      <c r="H12" s="98"/>
      <c r="I12" s="98"/>
    </row>
    <row r="13" spans="1:9" ht="12.75">
      <c r="A13" s="250" t="s">
        <v>260</v>
      </c>
      <c r="B13" s="251"/>
      <c r="C13" s="251"/>
      <c r="D13" s="251"/>
      <c r="E13" s="251"/>
      <c r="F13" s="251"/>
      <c r="G13" s="96">
        <v>8</v>
      </c>
      <c r="H13" s="98"/>
      <c r="I13" s="98"/>
    </row>
    <row r="14" spans="1:9" ht="12.75">
      <c r="A14" s="250" t="s">
        <v>261</v>
      </c>
      <c r="B14" s="251"/>
      <c r="C14" s="251"/>
      <c r="D14" s="251"/>
      <c r="E14" s="251"/>
      <c r="F14" s="251"/>
      <c r="G14" s="96">
        <v>9</v>
      </c>
      <c r="H14" s="98"/>
      <c r="I14" s="98"/>
    </row>
    <row r="15" spans="1:9" ht="12.75">
      <c r="A15" s="248" t="s">
        <v>262</v>
      </c>
      <c r="B15" s="249"/>
      <c r="C15" s="249"/>
      <c r="D15" s="249"/>
      <c r="E15" s="249"/>
      <c r="F15" s="249"/>
      <c r="G15" s="96">
        <v>10</v>
      </c>
      <c r="H15" s="99">
        <f>SUM(H6:H14)</f>
        <v>126898497</v>
      </c>
      <c r="I15" s="99">
        <f>SUM(I6:I14)</f>
        <v>131050848</v>
      </c>
    </row>
    <row r="16" spans="1:9" ht="12.75">
      <c r="A16" s="250" t="s">
        <v>263</v>
      </c>
      <c r="B16" s="251"/>
      <c r="C16" s="251"/>
      <c r="D16" s="251"/>
      <c r="E16" s="251"/>
      <c r="F16" s="251"/>
      <c r="G16" s="96">
        <v>11</v>
      </c>
      <c r="H16" s="98"/>
      <c r="I16" s="98"/>
    </row>
    <row r="17" spans="1:9" ht="12.75">
      <c r="A17" s="250" t="s">
        <v>264</v>
      </c>
      <c r="B17" s="251"/>
      <c r="C17" s="251"/>
      <c r="D17" s="251"/>
      <c r="E17" s="251"/>
      <c r="F17" s="251"/>
      <c r="G17" s="96">
        <v>12</v>
      </c>
      <c r="H17" s="98"/>
      <c r="I17" s="98"/>
    </row>
    <row r="18" spans="1:9" ht="12.75">
      <c r="A18" s="250" t="s">
        <v>265</v>
      </c>
      <c r="B18" s="251"/>
      <c r="C18" s="251"/>
      <c r="D18" s="251"/>
      <c r="E18" s="251"/>
      <c r="F18" s="251"/>
      <c r="G18" s="96">
        <v>13</v>
      </c>
      <c r="H18" s="98"/>
      <c r="I18" s="98"/>
    </row>
    <row r="19" spans="1:9" ht="12.75">
      <c r="A19" s="250" t="s">
        <v>266</v>
      </c>
      <c r="B19" s="251"/>
      <c r="C19" s="251"/>
      <c r="D19" s="251"/>
      <c r="E19" s="251"/>
      <c r="F19" s="251"/>
      <c r="G19" s="96">
        <v>14</v>
      </c>
      <c r="H19" s="98"/>
      <c r="I19" s="98"/>
    </row>
    <row r="20" spans="1:9" ht="12.75">
      <c r="A20" s="250" t="s">
        <v>267</v>
      </c>
      <c r="B20" s="251"/>
      <c r="C20" s="251"/>
      <c r="D20" s="251"/>
      <c r="E20" s="251"/>
      <c r="F20" s="251"/>
      <c r="G20" s="96">
        <v>15</v>
      </c>
      <c r="H20" s="98"/>
      <c r="I20" s="98"/>
    </row>
    <row r="21" spans="1:9" ht="12.75">
      <c r="A21" s="250" t="s">
        <v>268</v>
      </c>
      <c r="B21" s="251"/>
      <c r="C21" s="251"/>
      <c r="D21" s="251"/>
      <c r="E21" s="251"/>
      <c r="F21" s="251"/>
      <c r="G21" s="96">
        <v>16</v>
      </c>
      <c r="H21" s="98"/>
      <c r="I21" s="98"/>
    </row>
    <row r="22" spans="1:9" ht="12.75">
      <c r="A22" s="248" t="s">
        <v>269</v>
      </c>
      <c r="B22" s="249"/>
      <c r="C22" s="249"/>
      <c r="D22" s="249"/>
      <c r="E22" s="249"/>
      <c r="F22" s="249"/>
      <c r="G22" s="96">
        <v>17</v>
      </c>
      <c r="H22" s="100">
        <f>SUM(H16:H21)</f>
        <v>0</v>
      </c>
      <c r="I22" s="100">
        <f>SUM(I16:I21)</f>
        <v>0</v>
      </c>
    </row>
    <row r="23" spans="1:9" ht="12.75">
      <c r="A23" s="263"/>
      <c r="B23" s="264"/>
      <c r="C23" s="264"/>
      <c r="D23" s="264"/>
      <c r="E23" s="264"/>
      <c r="F23" s="264"/>
      <c r="G23" s="265"/>
      <c r="H23" s="265"/>
      <c r="I23" s="266"/>
    </row>
    <row r="24" spans="1:9" ht="12.75">
      <c r="A24" s="254" t="s">
        <v>270</v>
      </c>
      <c r="B24" s="255"/>
      <c r="C24" s="255"/>
      <c r="D24" s="255"/>
      <c r="E24" s="255"/>
      <c r="F24" s="255"/>
      <c r="G24" s="101">
        <v>18</v>
      </c>
      <c r="H24" s="97"/>
      <c r="I24" s="97"/>
    </row>
    <row r="25" spans="1:9" ht="23.25" customHeight="1">
      <c r="A25" s="256" t="s">
        <v>271</v>
      </c>
      <c r="B25" s="257"/>
      <c r="C25" s="257"/>
      <c r="D25" s="257"/>
      <c r="E25" s="257"/>
      <c r="F25" s="257"/>
      <c r="G25" s="102">
        <v>19</v>
      </c>
      <c r="H25" s="100"/>
      <c r="I25" s="100"/>
    </row>
    <row r="26" spans="1:9" ht="30" customHeight="1">
      <c r="A26" s="259" t="s">
        <v>272</v>
      </c>
      <c r="B26" s="260"/>
      <c r="C26" s="260"/>
      <c r="D26" s="260"/>
      <c r="E26" s="260"/>
      <c r="F26" s="260"/>
      <c r="G26" s="260"/>
      <c r="H26" s="260"/>
      <c r="I26" s="260"/>
    </row>
  </sheetData>
  <sheetProtection/>
  <protectedRanges>
    <protectedRange sqref="E2:E3" name="Range1_1"/>
  </protectedRanges>
  <mergeCells count="25">
    <mergeCell ref="A2:I2"/>
    <mergeCell ref="A26:I26"/>
    <mergeCell ref="A1:I1"/>
    <mergeCell ref="A20:F20"/>
    <mergeCell ref="A21:F21"/>
    <mergeCell ref="A22:F22"/>
    <mergeCell ref="A23:I23"/>
    <mergeCell ref="A16:F16"/>
    <mergeCell ref="A17:F17"/>
    <mergeCell ref="A8:F8"/>
    <mergeCell ref="A24:F24"/>
    <mergeCell ref="A25:F25"/>
    <mergeCell ref="A18:F18"/>
    <mergeCell ref="A19:F19"/>
    <mergeCell ref="A12:F12"/>
    <mergeCell ref="A13:F13"/>
    <mergeCell ref="A14:F14"/>
    <mergeCell ref="A15:F15"/>
    <mergeCell ref="A6:F6"/>
    <mergeCell ref="A7:F7"/>
    <mergeCell ref="A4:F4"/>
    <mergeCell ref="A5:F5"/>
    <mergeCell ref="A9:F9"/>
    <mergeCell ref="A10:F10"/>
    <mergeCell ref="A11:F11"/>
  </mergeCells>
  <dataValidations count="4">
    <dataValidation type="whole" operator="notEqual" allowBlank="1" showInputMessage="1" showErrorMessage="1" errorTitle="Pogrešan unos" error="Mogu se unijeti samo cjelobrojne vrijednosti." sqref="H24:I25">
      <formula1>9999999999</formula1>
    </dataValidation>
    <dataValidation type="whole" operator="notEqual" allowBlank="1" showInputMessage="1" showErrorMessage="1" errorTitle="Pogrešan unos" error="Mogu se unijeti samo cjelobrojne vrijednosti." sqref="H16:I21 I6:I14 H12:H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H15:I15 H22:I23">
      <formula1>0</formula1>
    </dataValidation>
    <dataValidation allowBlank="1" sqref="H6:H11"/>
  </dataValidation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Marijana Zuanic</cp:lastModifiedBy>
  <cp:lastPrinted>2018-04-10T07:54:05Z</cp:lastPrinted>
  <dcterms:created xsi:type="dcterms:W3CDTF">2008-10-17T11:51:54Z</dcterms:created>
  <dcterms:modified xsi:type="dcterms:W3CDTF">2018-04-18T12:46:05Z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