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<sst xmlns="http://schemas.openxmlformats.org/spreadsheetml/2006/main" count="343" uniqueCount="313">
  <si>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</si>
  <si>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</si>
  <si>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</si>
  <si>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</si>
  <si>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</si>
  <si>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</si>
  <si>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</si>
  <si>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</si>
  <si>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</si>
  <si>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</si>
  <si>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</si>
  <si>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</si>
  <si>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</si>
  <si>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</si>
  <si>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</si>
  <si>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</si>
  <si>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</si>
  <si>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</si>
  <si>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</si>
  <si>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</si>
  <si>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</si>
  <si>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</si>
  <si>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</si>
  <si>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</si>
  <si>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</si>
  <si>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</si>
  <si>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</si>
  <si>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</si>
  <si>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</si>
  <si>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</si>
  <si>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</si>
  <si>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</si>
  <si>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</si>
  <si>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</si>
  <si>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</si>
  <si>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</si>
  <si>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</si>
  <si>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</si>
  <si>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</si>
  <si>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</si>
  <si>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</si>
  <si>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</si>
  <si>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</si>
  <si>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</si>
  <si>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</si>
  <si>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</si>
  <si>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</si>
  <si>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</si>
  <si>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</si>
  <si>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</si>
  <si>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</si>
  <si>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</si>
  <si>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</si>
  <si>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</si>
  <si>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</si>
  <si>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</si>
  <si>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</si>
  <si>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</si>
  <si>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</si>
  <si>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</si>
  <si>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</si>
  <si>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</si>
  <si>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</si>
  <si>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</si>
  <si>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</si>
  <si>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</si>
  <si>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</si>
  <si>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</si>
  <si>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</si>
  <si>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</si>
  <si>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</si>
  <si>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</si>
  <si>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</si>
  <si>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</si>
  <si>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</si>
  <si>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</si>
  <si>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</si>
  <si>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</si>
  <si>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</si>
  <si>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</si>
  <si>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</si>
  <si>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</si>
  <si>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</si>
  <si>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</si>
  <si>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</si>
  <si>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</si>
  <si>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</si>
  <si>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</si>
  <si>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</si>
  <si>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</si>
  <si>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</si>
  <si>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</si>
  <si>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</si>
  <si>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</si>
  <si>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</si>
  <si>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</si>
  <si>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</si>
  <si>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</si>
  <si>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</si>
  <si>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</si>
  <si>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</si>
  <si>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</si>
  <si>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</si>
  <si>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</si>
  <si>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</si>
  <si>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</si>
  <si>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</si>
  <si>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</si>
  <si>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</si>
  <si>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</si>
  <si>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</si>
  <si>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</si>
  <si>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</si>
  <si>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</si>
  <si>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</si>
  <si>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</si>
  <si>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</si>
  <si>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</si>
  <si>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</si>
  <si>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</si>
  <si>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</si>
  <si>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</si>
  <si>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</si>
  <si>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</si>
  <si>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</si>
  <si>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</si>
  <si>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</si>
  <si>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</si>
  <si>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</si>
  <si>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</si>
  <si>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</si>
  <si>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</si>
  <si>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</si>
  <si>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</si>
  <si>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</si>
  <si>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</si>
  <si>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</si>
  <si>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</si>
  <si>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</si>
  <si>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</si>
  <si>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</si>
  <si>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</si>
  <si>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</si>
  <si>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</si>
  <si>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</si>
  <si>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</si>
  <si>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</si>
  <si>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</si>
  <si>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</si>
  <si>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</si>
  <si>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</si>
  <si>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</si>
  <si>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</si>
  <si>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</si>
  <si>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</si>
  <si>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</si>
  <si>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</si>
  <si>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</si>
  <si>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</si>
  <si>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</si>
  <si>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</si>
  <si>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</si>
  <si>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</si>
  <si>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</si>
  <si>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</si>
  <si>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</si>
  <si>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</si>
  <si>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</si>
  <si>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</si>
  <si>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</si>
  <si>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</si>
  <si>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</si>
  <si>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</si>
  <si>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</si>
  <si>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</si>
  <si>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</si>
  <si>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</si>
  <si>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</si>
  <si>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</si>
  <si>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</si>
  <si>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</si>
  <si>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</si>
  <si>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</si>
  <si>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</si>
  <si>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</si>
  <si>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</si>
  <si>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</si>
  <si>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</si>
  <si>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</si>
  <si>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</si>
  <si>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</si>
  <si>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</si>
  <si>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</si>
  <si>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</si>
  <si>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</si>
  <si>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</si>
  <si>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</si>
  <si>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</si>
  <si>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</si>
  <si>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</si>
  <si>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</si>
  <si>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</si>
  <si>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</si>
  <si>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</si>
  <si>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</si>
  <si>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</si>
  <si>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</si>
  <si>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</si>
  <si>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</si>
  <si>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</si>
  <si>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</si>
  <si>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</si>
  <si>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</si>
  <si>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</si>
  <si>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</si>
  <si>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</si>
  <si>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</si>
  <si>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</si>
  <si>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</si>
  <si>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</si>
  <si>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</si>
  <si>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</si>
  <si>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</si>
  <si>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</si>
  <si>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</si>
  <si>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</si>
  <si>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</si>
  <si>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</si>
  <si>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</si>
  <si>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</si>
  <si>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</si>
  <si>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</si>
  <si>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</si>
  <si>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</si>
  <si>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</si>
  <si>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</si>
  <si>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</si>
  <si>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</si>
  <si>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</si>
  <si>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</si>
  <si>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</si>
  <si>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</si>
  <si>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</si>
  <si>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</si>
  <si>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</si>
  <si>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</si>
  <si>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</si>
  <si>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</si>
  <si>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</si>
  <si>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</si>
  <si>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</si>
  <si>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</si>
  <si>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</si>
  <si>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</si>
  <si>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</si>
  <si>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</si>
  <si>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</si>
  <si>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</si>
  <si>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</si>
  <si>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</si>
  <si>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</si>
  <si>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</si>
  <si>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</si>
  <si>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</si>
  <si>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</si>
  <si>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</si>
  <si>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</si>
  <si>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</si>
  <si>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 xml:space="preserve">     3. Novčani primici od kamata</t>
  </si>
  <si>
    <t xml:space="preserve">     4. Novčani primici od dividendi</t>
  </si>
  <si>
    <t>01.01.</t>
  </si>
  <si>
    <t>30.06.2014.</t>
  </si>
  <si>
    <t>03440885</t>
  </si>
  <si>
    <t>060008247</t>
  </si>
  <si>
    <t>88557173997</t>
  </si>
  <si>
    <t>HOTELI MAESTRAL d.d.</t>
  </si>
  <si>
    <t>DUBROVNIK</t>
  </si>
  <si>
    <t>Ćira Carića 3</t>
  </si>
  <si>
    <t>hotelimaestral@hotelimaestral.com</t>
  </si>
  <si>
    <t>www.hotelimaestral.com</t>
  </si>
  <si>
    <t>DUBROVAČKO-NERETVANSKA</t>
  </si>
  <si>
    <t>NE</t>
  </si>
  <si>
    <t>5510</t>
  </si>
  <si>
    <t>Zuanić Marijana</t>
  </si>
  <si>
    <t>020/433-600</t>
  </si>
  <si>
    <t>020/435-656</t>
  </si>
  <si>
    <t>Balija Miho</t>
  </si>
  <si>
    <t>stanje na dan 30.06.2014.</t>
  </si>
  <si>
    <t>Obveznik: HOTELI MAESTRAL d.d.</t>
  </si>
  <si>
    <t>Prethodno razdoblje 31.12.2013.</t>
  </si>
  <si>
    <t>Tekuće razdoblje 30.06.2014.</t>
  </si>
  <si>
    <t>u razdoblju 01.01.2014. do 30.06.2014.</t>
  </si>
  <si>
    <t>Prethodno razdoblje 01.01.-30.06.2013.</t>
  </si>
  <si>
    <t>Prethodna godina 01.01.-30.06.2013.</t>
  </si>
  <si>
    <t>Tekuća godina 01.01.-30.06.2014.</t>
  </si>
  <si>
    <t>Tekuće razdoblje 01.01.-30.06.2014.</t>
  </si>
  <si>
    <t>U drugom kvartalu 2014. godine nije  bilo izmjena računovodstvenih politika, važnije promjene kapitala, kao ni značajnijih financijskih transakcija u odnosu na prethodno izvještajno razdoblje koje bi iziskivale dodatna pojašnjenja kroz računovodstvene bilješke.</t>
  </si>
  <si>
    <t>Tekuće razdoblje                   01.01.-30.06.2014.</t>
  </si>
  <si>
    <t>Prethodno razdoblje                  01.01.-30.06.2013.</t>
  </si>
  <si>
    <t>AOP
oznaka</t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</si>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</sst>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8" applyFont="1" applyFill="1" applyBorder="1" applyAlignment="1">
      <alignment horizontal="left" vertical="center"/>
      <protection/>
    </xf>
    <xf numFmtId="0" fontId="2" fillId="24" borderId="27" xfId="15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3" fillId="0" borderId="29" xfId="58" applyFont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3" fillId="0" borderId="25" xfId="58" applyFont="1" applyBorder="1" applyAlignment="1" applyProtection="1">
      <alignment horizontal="right"/>
      <protection hidden="1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49" fontId="2" fillId="24" borderId="27" xfId="1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5" applyNumberFormat="1" applyFont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8" xfId="15" applyFont="1" applyBorder="1" applyAlignment="1">
      <alignment horizontal="left" vertical="center"/>
      <protection/>
    </xf>
    <xf numFmtId="0" fontId="3" fillId="0" borderId="29" xfId="15" applyFont="1" applyBorder="1" applyAlignment="1">
      <alignment horizontal="left" vertical="center"/>
      <protection/>
    </xf>
    <xf numFmtId="0" fontId="4" fillId="0" borderId="27" xfId="54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28" xfId="15" applyFont="1" applyBorder="1" applyAlignment="1">
      <alignment horizontal="left"/>
      <protection/>
    </xf>
    <xf numFmtId="0" fontId="3" fillId="0" borderId="29" xfId="15" applyFont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3" fillId="0" borderId="25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15" applyFont="1" applyBorder="1" applyAlignment="1" applyProtection="1">
      <alignment horizontal="left" vertical="center"/>
      <protection hidden="1" locked="0"/>
    </xf>
    <xf numFmtId="0" fontId="2" fillId="0" borderId="29" xfId="15" applyFont="1" applyBorder="1" applyAlignment="1" applyProtection="1">
      <alignment horizontal="left" vertical="center"/>
      <protection hidden="1" locked="0"/>
    </xf>
    <xf numFmtId="49" fontId="2" fillId="24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49" fontId="2" fillId="24" borderId="27" xfId="1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15" applyNumberFormat="1" applyFont="1" applyBorder="1" applyAlignment="1" applyProtection="1">
      <alignment horizontal="left" vertical="center"/>
      <protection hidden="1" locked="0"/>
    </xf>
    <xf numFmtId="0" fontId="10" fillId="0" borderId="32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49" fontId="4" fillId="0" borderId="27" xfId="54" applyNumberForma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0" fontId="16" fillId="0" borderId="0" xfId="63" applyFont="1" applyBorder="1" applyAlignment="1" applyProtection="1">
      <alignment horizontal="left"/>
      <protection hidden="1"/>
    </xf>
    <xf numFmtId="0" fontId="17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7" fillId="0" borderId="28" xfId="63" applyFont="1" applyFill="1" applyBorder="1" applyAlignment="1" applyProtection="1">
      <alignment horizontal="center" vertical="center"/>
      <protection hidden="1"/>
    </xf>
    <xf numFmtId="14" fontId="7" fillId="0" borderId="28" xfId="63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63" applyFont="1" applyAlignment="1">
      <alignment/>
      <protection/>
    </xf>
    <xf numFmtId="0" fontId="0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0" borderId="42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167" fontId="7" fillId="0" borderId="12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167" fontId="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 indent="1"/>
    </xf>
    <xf numFmtId="0" fontId="0" fillId="0" borderId="33" xfId="0" applyFont="1" applyFill="1" applyBorder="1" applyAlignment="1">
      <alignment horizontal="left" vertical="center" wrapText="1" indent="1"/>
    </xf>
    <xf numFmtId="0" fontId="0" fillId="0" borderId="34" xfId="0" applyFont="1" applyFill="1" applyBorder="1" applyAlignment="1">
      <alignment horizontal="left" vertical="center" wrapText="1" indent="1"/>
    </xf>
    <xf numFmtId="0" fontId="0" fillId="0" borderId="37" xfId="0" applyFont="1" applyFill="1" applyBorder="1" applyAlignment="1">
      <alignment horizontal="left" vertical="center" wrapText="1" indent="1"/>
    </xf>
    <xf numFmtId="0" fontId="0" fillId="0" borderId="38" xfId="0" applyFont="1" applyFill="1" applyBorder="1" applyAlignment="1">
      <alignment horizontal="left" vertical="center" wrapText="1" indent="1"/>
    </xf>
    <xf numFmtId="0" fontId="0" fillId="0" borderId="39" xfId="0" applyFont="1" applyFill="1" applyBorder="1" applyAlignment="1">
      <alignment horizontal="left" vertical="center" wrapText="1" indent="1"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vertical="center"/>
      <protection hidden="1"/>
    </xf>
    <xf numFmtId="0" fontId="7" fillId="0" borderId="22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33" xfId="0" applyFont="1" applyFill="1" applyBorder="1" applyAlignment="1">
      <alignment horizontal="left" vertical="center" wrapText="1" indent="1"/>
    </xf>
    <xf numFmtId="0" fontId="7" fillId="0" borderId="34" xfId="0" applyFont="1" applyFill="1" applyBorder="1" applyAlignment="1">
      <alignment horizontal="left" vertical="center" wrapText="1" indent="1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167" fontId="7" fillId="0" borderId="15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0" fontId="7" fillId="0" borderId="3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 indent="1"/>
    </xf>
    <xf numFmtId="0" fontId="7" fillId="0" borderId="35" xfId="0" applyFont="1" applyFill="1" applyBorder="1" applyAlignment="1">
      <alignment horizontal="left" vertical="center" wrapText="1" indent="1"/>
    </xf>
    <xf numFmtId="0" fontId="7" fillId="0" borderId="36" xfId="0" applyFont="1" applyFill="1" applyBorder="1" applyAlignment="1">
      <alignment horizontal="left" vertical="center" wrapText="1" indent="1"/>
    </xf>
    <xf numFmtId="167" fontId="7" fillId="0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telimaestral@hotelimaestral.com" TargetMode="External" /><Relationship Id="rId2" Type="http://schemas.openxmlformats.org/officeDocument/2006/relationships/hyperlink" Target="http://www.hotelimaestral.com/" TargetMode="External" /><Relationship Id="rId3" Type="http://schemas.openxmlformats.org/officeDocument/2006/relationships/hyperlink" Target="mailto:hotelimaestral@hotelimaestra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view="pageBreakPreview" zoomScale="110" zoomScaleSheetLayoutView="110" zoomScalePageLayoutView="0" workbookViewId="0" topLeftCell="A1">
      <selection activeCell="F6" sqref="F6:H8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87" t="s">
        <v>198</v>
      </c>
      <c r="B1" s="188"/>
      <c r="C1" s="188"/>
      <c r="D1" s="80"/>
      <c r="E1" s="80"/>
      <c r="F1" s="80"/>
      <c r="G1" s="80"/>
      <c r="H1" s="80"/>
      <c r="I1" s="81"/>
      <c r="J1" s="9"/>
      <c r="K1" s="9"/>
      <c r="L1" s="9"/>
    </row>
    <row r="2" spans="1:12" ht="12.75">
      <c r="A2" s="145" t="s">
        <v>199</v>
      </c>
      <c r="B2" s="146"/>
      <c r="C2" s="146"/>
      <c r="D2" s="147"/>
      <c r="E2" s="115" t="s">
        <v>270</v>
      </c>
      <c r="F2" s="11"/>
      <c r="G2" s="12" t="s">
        <v>200</v>
      </c>
      <c r="H2" s="115" t="s">
        <v>271</v>
      </c>
      <c r="I2" s="82"/>
      <c r="J2" s="9"/>
      <c r="K2" s="9"/>
      <c r="L2" s="9"/>
    </row>
    <row r="3" spans="1:12" ht="12.75">
      <c r="A3" s="83"/>
      <c r="B3" s="13"/>
      <c r="C3" s="13"/>
      <c r="D3" s="13"/>
      <c r="E3" s="14"/>
      <c r="F3" s="14"/>
      <c r="G3" s="13"/>
      <c r="H3" s="13"/>
      <c r="I3" s="84"/>
      <c r="J3" s="9"/>
      <c r="K3" s="9"/>
      <c r="L3" s="9"/>
    </row>
    <row r="4" spans="1:12" ht="15">
      <c r="A4" s="148" t="s">
        <v>266</v>
      </c>
      <c r="B4" s="149"/>
      <c r="C4" s="149"/>
      <c r="D4" s="149"/>
      <c r="E4" s="149"/>
      <c r="F4" s="149"/>
      <c r="G4" s="149"/>
      <c r="H4" s="149"/>
      <c r="I4" s="150"/>
      <c r="J4" s="9"/>
      <c r="K4" s="9"/>
      <c r="L4" s="9"/>
    </row>
    <row r="5" spans="1:12" ht="12.75">
      <c r="A5" s="85"/>
      <c r="B5" s="15"/>
      <c r="C5" s="15"/>
      <c r="D5" s="15"/>
      <c r="E5" s="16"/>
      <c r="F5" s="86"/>
      <c r="G5" s="17"/>
      <c r="H5" s="18"/>
      <c r="I5" s="87"/>
      <c r="J5" s="9"/>
      <c r="K5" s="9"/>
      <c r="L5" s="9"/>
    </row>
    <row r="6" spans="1:12" ht="12.75">
      <c r="A6" s="151" t="s">
        <v>201</v>
      </c>
      <c r="B6" s="138"/>
      <c r="C6" s="139" t="s">
        <v>272</v>
      </c>
      <c r="D6" s="135"/>
      <c r="E6" s="28"/>
      <c r="F6" s="28"/>
      <c r="G6" s="28"/>
      <c r="H6" s="28"/>
      <c r="I6" s="88"/>
      <c r="J6" s="9"/>
      <c r="K6" s="9"/>
      <c r="L6" s="9"/>
    </row>
    <row r="7" spans="1:12" ht="12.75">
      <c r="A7" s="89"/>
      <c r="B7" s="21"/>
      <c r="C7" s="15"/>
      <c r="D7" s="15"/>
      <c r="E7" s="28"/>
      <c r="F7" s="28"/>
      <c r="G7" s="28"/>
      <c r="H7" s="28"/>
      <c r="I7" s="88"/>
      <c r="J7" s="9"/>
      <c r="K7" s="9"/>
      <c r="L7" s="9"/>
    </row>
    <row r="8" spans="1:12" ht="12.75">
      <c r="A8" s="136" t="s">
        <v>202</v>
      </c>
      <c r="B8" s="137"/>
      <c r="C8" s="143" t="s">
        <v>273</v>
      </c>
      <c r="D8" s="144"/>
      <c r="E8" s="28"/>
      <c r="F8" s="28"/>
      <c r="G8" s="28"/>
      <c r="H8" s="28"/>
      <c r="I8" s="90"/>
      <c r="J8" s="9"/>
      <c r="K8" s="9"/>
      <c r="L8" s="9"/>
    </row>
    <row r="9" spans="1:12" ht="12.75">
      <c r="A9" s="91"/>
      <c r="B9" s="49"/>
      <c r="C9" s="19"/>
      <c r="D9" s="25"/>
      <c r="E9" s="15"/>
      <c r="F9" s="15"/>
      <c r="G9" s="15"/>
      <c r="H9" s="15"/>
      <c r="I9" s="90"/>
      <c r="J9" s="9"/>
      <c r="K9" s="9"/>
      <c r="L9" s="9"/>
    </row>
    <row r="10" spans="1:12" ht="12.75">
      <c r="A10" s="140" t="s">
        <v>203</v>
      </c>
      <c r="B10" s="141"/>
      <c r="C10" s="143" t="s">
        <v>274</v>
      </c>
      <c r="D10" s="144"/>
      <c r="E10" s="15"/>
      <c r="F10" s="15"/>
      <c r="G10" s="15"/>
      <c r="H10" s="15"/>
      <c r="I10" s="90"/>
      <c r="J10" s="9"/>
      <c r="K10" s="9"/>
      <c r="L10" s="9"/>
    </row>
    <row r="11" spans="1:12" ht="12.75">
      <c r="A11" s="142"/>
      <c r="B11" s="141"/>
      <c r="C11" s="15"/>
      <c r="D11" s="15"/>
      <c r="E11" s="15"/>
      <c r="F11" s="15"/>
      <c r="G11" s="15"/>
      <c r="H11" s="15"/>
      <c r="I11" s="90"/>
      <c r="J11" s="9"/>
      <c r="K11" s="9"/>
      <c r="L11" s="9"/>
    </row>
    <row r="12" spans="1:12" ht="12.75">
      <c r="A12" s="151" t="s">
        <v>204</v>
      </c>
      <c r="B12" s="138"/>
      <c r="C12" s="126" t="s">
        <v>275</v>
      </c>
      <c r="D12" s="127"/>
      <c r="E12" s="127"/>
      <c r="F12" s="127"/>
      <c r="G12" s="127"/>
      <c r="H12" s="127"/>
      <c r="I12" s="128"/>
      <c r="J12" s="9"/>
      <c r="K12" s="9"/>
      <c r="L12" s="9"/>
    </row>
    <row r="13" spans="1:12" ht="12.75">
      <c r="A13" s="89"/>
      <c r="B13" s="21"/>
      <c r="C13" s="20"/>
      <c r="D13" s="15"/>
      <c r="E13" s="15"/>
      <c r="F13" s="15"/>
      <c r="G13" s="15"/>
      <c r="H13" s="15"/>
      <c r="I13" s="90"/>
      <c r="J13" s="9"/>
      <c r="K13" s="9"/>
      <c r="L13" s="9"/>
    </row>
    <row r="14" spans="1:12" ht="12.75">
      <c r="A14" s="151" t="s">
        <v>205</v>
      </c>
      <c r="B14" s="138"/>
      <c r="C14" s="129">
        <v>20000</v>
      </c>
      <c r="D14" s="130"/>
      <c r="E14" s="15"/>
      <c r="F14" s="132" t="s">
        <v>276</v>
      </c>
      <c r="G14" s="131"/>
      <c r="H14" s="131"/>
      <c r="I14" s="123"/>
      <c r="J14" s="9"/>
      <c r="K14" s="9"/>
      <c r="L14" s="9"/>
    </row>
    <row r="15" spans="1:12" ht="12.75">
      <c r="A15" s="89"/>
      <c r="B15" s="21"/>
      <c r="C15" s="15"/>
      <c r="D15" s="15"/>
      <c r="E15" s="15"/>
      <c r="F15" s="15"/>
      <c r="G15" s="15"/>
      <c r="H15" s="15"/>
      <c r="I15" s="90"/>
      <c r="J15" s="9"/>
      <c r="K15" s="9"/>
      <c r="L15" s="9"/>
    </row>
    <row r="16" spans="1:12" ht="12.75">
      <c r="A16" s="151" t="s">
        <v>206</v>
      </c>
      <c r="B16" s="138"/>
      <c r="C16" s="124" t="s">
        <v>277</v>
      </c>
      <c r="D16" s="152"/>
      <c r="E16" s="152"/>
      <c r="F16" s="152"/>
      <c r="G16" s="152"/>
      <c r="H16" s="152"/>
      <c r="I16" s="153"/>
      <c r="J16" s="9"/>
      <c r="K16" s="9"/>
      <c r="L16" s="9"/>
    </row>
    <row r="17" spans="1:12" ht="12.75">
      <c r="A17" s="89"/>
      <c r="B17" s="21"/>
      <c r="C17" s="15"/>
      <c r="D17" s="15"/>
      <c r="E17" s="15"/>
      <c r="F17" s="15"/>
      <c r="G17" s="15"/>
      <c r="H17" s="15"/>
      <c r="I17" s="90"/>
      <c r="J17" s="9"/>
      <c r="K17" s="9"/>
      <c r="L17" s="9"/>
    </row>
    <row r="18" spans="1:12" ht="12.75">
      <c r="A18" s="151" t="s">
        <v>207</v>
      </c>
      <c r="B18" s="138"/>
      <c r="C18" s="154" t="s">
        <v>278</v>
      </c>
      <c r="D18" s="155"/>
      <c r="E18" s="155"/>
      <c r="F18" s="155"/>
      <c r="G18" s="155"/>
      <c r="H18" s="155"/>
      <c r="I18" s="156"/>
      <c r="J18" s="9"/>
      <c r="K18" s="9"/>
      <c r="L18" s="9"/>
    </row>
    <row r="19" spans="1:12" ht="12.75">
      <c r="A19" s="89"/>
      <c r="B19" s="21"/>
      <c r="C19" s="20"/>
      <c r="D19" s="15"/>
      <c r="E19" s="15"/>
      <c r="F19" s="15"/>
      <c r="G19" s="15"/>
      <c r="H19" s="15"/>
      <c r="I19" s="90"/>
      <c r="J19" s="9"/>
      <c r="K19" s="9"/>
      <c r="L19" s="9"/>
    </row>
    <row r="20" spans="1:12" ht="12.75">
      <c r="A20" s="151" t="s">
        <v>208</v>
      </c>
      <c r="B20" s="138"/>
      <c r="C20" s="154" t="s">
        <v>279</v>
      </c>
      <c r="D20" s="155"/>
      <c r="E20" s="155"/>
      <c r="F20" s="155"/>
      <c r="G20" s="155"/>
      <c r="H20" s="155"/>
      <c r="I20" s="156"/>
      <c r="J20" s="9"/>
      <c r="K20" s="9"/>
      <c r="L20" s="9"/>
    </row>
    <row r="21" spans="1:12" ht="12.75">
      <c r="A21" s="89"/>
      <c r="B21" s="21"/>
      <c r="C21" s="20"/>
      <c r="D21" s="15"/>
      <c r="E21" s="15"/>
      <c r="F21" s="15"/>
      <c r="G21" s="15"/>
      <c r="H21" s="15"/>
      <c r="I21" s="90"/>
      <c r="J21" s="9"/>
      <c r="K21" s="9"/>
      <c r="L21" s="9"/>
    </row>
    <row r="22" spans="1:12" ht="12.75">
      <c r="A22" s="151" t="s">
        <v>209</v>
      </c>
      <c r="B22" s="138"/>
      <c r="C22" s="116">
        <v>98</v>
      </c>
      <c r="D22" s="132" t="s">
        <v>276</v>
      </c>
      <c r="E22" s="133"/>
      <c r="F22" s="134"/>
      <c r="G22" s="151"/>
      <c r="H22" s="125"/>
      <c r="I22" s="92"/>
      <c r="J22" s="9"/>
      <c r="K22" s="9"/>
      <c r="L22" s="9"/>
    </row>
    <row r="23" spans="1:12" ht="12.75">
      <c r="A23" s="89"/>
      <c r="B23" s="21"/>
      <c r="C23" s="15"/>
      <c r="D23" s="23"/>
      <c r="E23" s="23"/>
      <c r="F23" s="23"/>
      <c r="G23" s="23"/>
      <c r="H23" s="15"/>
      <c r="I23" s="90"/>
      <c r="J23" s="9"/>
      <c r="K23" s="9"/>
      <c r="L23" s="9"/>
    </row>
    <row r="24" spans="1:12" ht="12.75">
      <c r="A24" s="151" t="s">
        <v>210</v>
      </c>
      <c r="B24" s="138"/>
      <c r="C24" s="116">
        <v>19</v>
      </c>
      <c r="D24" s="124" t="s">
        <v>280</v>
      </c>
      <c r="E24" s="160"/>
      <c r="F24" s="160"/>
      <c r="G24" s="161"/>
      <c r="H24" s="50" t="s">
        <v>211</v>
      </c>
      <c r="I24" s="117">
        <v>185</v>
      </c>
      <c r="J24" s="9"/>
      <c r="K24" s="9"/>
      <c r="L24" s="9"/>
    </row>
    <row r="25" spans="1:12" ht="12.75">
      <c r="A25" s="89"/>
      <c r="B25" s="21"/>
      <c r="C25" s="15"/>
      <c r="D25" s="23"/>
      <c r="E25" s="23"/>
      <c r="F25" s="23"/>
      <c r="G25" s="21"/>
      <c r="H25" s="21" t="s">
        <v>267</v>
      </c>
      <c r="I25" s="93"/>
      <c r="J25" s="9"/>
      <c r="K25" s="9"/>
      <c r="L25" s="9"/>
    </row>
    <row r="26" spans="1:12" ht="12.75">
      <c r="A26" s="151" t="s">
        <v>212</v>
      </c>
      <c r="B26" s="138"/>
      <c r="C26" s="118" t="s">
        <v>281</v>
      </c>
      <c r="D26" s="24"/>
      <c r="E26" s="32"/>
      <c r="F26" s="23"/>
      <c r="G26" s="162" t="s">
        <v>213</v>
      </c>
      <c r="H26" s="138"/>
      <c r="I26" s="119" t="s">
        <v>282</v>
      </c>
      <c r="J26" s="9"/>
      <c r="K26" s="9"/>
      <c r="L26" s="9"/>
    </row>
    <row r="27" spans="1:12" ht="12.75">
      <c r="A27" s="89"/>
      <c r="B27" s="21"/>
      <c r="C27" s="15"/>
      <c r="D27" s="23"/>
      <c r="E27" s="23"/>
      <c r="F27" s="23"/>
      <c r="G27" s="23"/>
      <c r="H27" s="15"/>
      <c r="I27" s="94"/>
      <c r="J27" s="9"/>
      <c r="K27" s="9"/>
      <c r="L27" s="9"/>
    </row>
    <row r="28" spans="1:12" ht="12.75">
      <c r="A28" s="163" t="s">
        <v>214</v>
      </c>
      <c r="B28" s="164"/>
      <c r="C28" s="165"/>
      <c r="D28" s="165"/>
      <c r="E28" s="166" t="s">
        <v>215</v>
      </c>
      <c r="F28" s="167"/>
      <c r="G28" s="167"/>
      <c r="H28" s="168" t="s">
        <v>216</v>
      </c>
      <c r="I28" s="169"/>
      <c r="J28" s="9"/>
      <c r="K28" s="9"/>
      <c r="L28" s="9"/>
    </row>
    <row r="29" spans="1:12" ht="12.75">
      <c r="A29" s="95"/>
      <c r="B29" s="32"/>
      <c r="C29" s="32"/>
      <c r="D29" s="25"/>
      <c r="E29" s="15"/>
      <c r="F29" s="15"/>
      <c r="G29" s="15"/>
      <c r="H29" s="26"/>
      <c r="I29" s="94"/>
      <c r="J29" s="9"/>
      <c r="K29" s="9"/>
      <c r="L29" s="9"/>
    </row>
    <row r="30" spans="1:12" ht="12.75">
      <c r="A30" s="157"/>
      <c r="B30" s="158"/>
      <c r="C30" s="158"/>
      <c r="D30" s="159"/>
      <c r="E30" s="157"/>
      <c r="F30" s="158"/>
      <c r="G30" s="158"/>
      <c r="H30" s="139"/>
      <c r="I30" s="135"/>
      <c r="J30" s="9"/>
      <c r="K30" s="9"/>
      <c r="L30" s="9"/>
    </row>
    <row r="31" spans="1:12" ht="12.75">
      <c r="A31" s="89"/>
      <c r="B31" s="21"/>
      <c r="C31" s="20"/>
      <c r="D31" s="170"/>
      <c r="E31" s="170"/>
      <c r="F31" s="170"/>
      <c r="G31" s="171"/>
      <c r="H31" s="15"/>
      <c r="I31" s="96"/>
      <c r="J31" s="9"/>
      <c r="K31" s="9"/>
      <c r="L31" s="9"/>
    </row>
    <row r="32" spans="1:12" ht="12.75">
      <c r="A32" s="157"/>
      <c r="B32" s="158"/>
      <c r="C32" s="158"/>
      <c r="D32" s="159"/>
      <c r="E32" s="157"/>
      <c r="F32" s="158"/>
      <c r="G32" s="158"/>
      <c r="H32" s="139"/>
      <c r="I32" s="135"/>
      <c r="J32" s="9"/>
      <c r="K32" s="9"/>
      <c r="L32" s="9"/>
    </row>
    <row r="33" spans="1:12" ht="12.75">
      <c r="A33" s="89"/>
      <c r="B33" s="21"/>
      <c r="C33" s="20"/>
      <c r="D33" s="27"/>
      <c r="E33" s="27"/>
      <c r="F33" s="27"/>
      <c r="G33" s="28"/>
      <c r="H33" s="15"/>
      <c r="I33" s="97"/>
      <c r="J33" s="9"/>
      <c r="K33" s="9"/>
      <c r="L33" s="9"/>
    </row>
    <row r="34" spans="1:12" ht="12.75">
      <c r="A34" s="157"/>
      <c r="B34" s="158"/>
      <c r="C34" s="158"/>
      <c r="D34" s="159"/>
      <c r="E34" s="157"/>
      <c r="F34" s="158"/>
      <c r="G34" s="158"/>
      <c r="H34" s="139"/>
      <c r="I34" s="135"/>
      <c r="J34" s="9"/>
      <c r="K34" s="9"/>
      <c r="L34" s="9"/>
    </row>
    <row r="35" spans="1:12" ht="12.75">
      <c r="A35" s="89"/>
      <c r="B35" s="21"/>
      <c r="C35" s="20"/>
      <c r="D35" s="27"/>
      <c r="E35" s="27"/>
      <c r="F35" s="27"/>
      <c r="G35" s="28"/>
      <c r="H35" s="15"/>
      <c r="I35" s="97"/>
      <c r="J35" s="9"/>
      <c r="K35" s="9"/>
      <c r="L35" s="9"/>
    </row>
    <row r="36" spans="1:12" ht="12.75">
      <c r="A36" s="157"/>
      <c r="B36" s="158"/>
      <c r="C36" s="158"/>
      <c r="D36" s="159"/>
      <c r="E36" s="157"/>
      <c r="F36" s="158"/>
      <c r="G36" s="158"/>
      <c r="H36" s="139"/>
      <c r="I36" s="135"/>
      <c r="J36" s="9"/>
      <c r="K36" s="9"/>
      <c r="L36" s="9"/>
    </row>
    <row r="37" spans="1:12" ht="12.75">
      <c r="A37" s="98"/>
      <c r="B37" s="29"/>
      <c r="C37" s="177"/>
      <c r="D37" s="178"/>
      <c r="E37" s="15"/>
      <c r="F37" s="177"/>
      <c r="G37" s="178"/>
      <c r="H37" s="15"/>
      <c r="I37" s="90"/>
      <c r="J37" s="9"/>
      <c r="K37" s="9"/>
      <c r="L37" s="9"/>
    </row>
    <row r="38" spans="1:12" ht="12.75">
      <c r="A38" s="157"/>
      <c r="B38" s="158"/>
      <c r="C38" s="158"/>
      <c r="D38" s="159"/>
      <c r="E38" s="157"/>
      <c r="F38" s="158"/>
      <c r="G38" s="158"/>
      <c r="H38" s="139"/>
      <c r="I38" s="135"/>
      <c r="J38" s="9"/>
      <c r="K38" s="9"/>
      <c r="L38" s="9"/>
    </row>
    <row r="39" spans="1:12" ht="12.75">
      <c r="A39" s="98"/>
      <c r="B39" s="29"/>
      <c r="C39" s="30"/>
      <c r="D39" s="31"/>
      <c r="E39" s="15"/>
      <c r="F39" s="30"/>
      <c r="G39" s="31"/>
      <c r="H39" s="15"/>
      <c r="I39" s="90"/>
      <c r="J39" s="9"/>
      <c r="K39" s="9"/>
      <c r="L39" s="9"/>
    </row>
    <row r="40" spans="1:12" ht="12.75">
      <c r="A40" s="157"/>
      <c r="B40" s="158"/>
      <c r="C40" s="158"/>
      <c r="D40" s="159"/>
      <c r="E40" s="157"/>
      <c r="F40" s="158"/>
      <c r="G40" s="158"/>
      <c r="H40" s="139"/>
      <c r="I40" s="135"/>
      <c r="J40" s="9"/>
      <c r="K40" s="9"/>
      <c r="L40" s="9"/>
    </row>
    <row r="41" spans="1:12" ht="12.75">
      <c r="A41" s="120"/>
      <c r="B41" s="32"/>
      <c r="C41" s="32"/>
      <c r="D41" s="32"/>
      <c r="E41" s="22"/>
      <c r="F41" s="121"/>
      <c r="G41" s="121"/>
      <c r="H41" s="122"/>
      <c r="I41" s="99"/>
      <c r="J41" s="9"/>
      <c r="K41" s="9"/>
      <c r="L41" s="9"/>
    </row>
    <row r="42" spans="1:12" ht="12.75">
      <c r="A42" s="98"/>
      <c r="B42" s="29"/>
      <c r="C42" s="30"/>
      <c r="D42" s="31"/>
      <c r="E42" s="15"/>
      <c r="F42" s="30"/>
      <c r="G42" s="31"/>
      <c r="H42" s="15"/>
      <c r="I42" s="90"/>
      <c r="J42" s="9"/>
      <c r="K42" s="9"/>
      <c r="L42" s="9"/>
    </row>
    <row r="43" spans="1:12" ht="12.75">
      <c r="A43" s="100"/>
      <c r="B43" s="33"/>
      <c r="C43" s="33"/>
      <c r="D43" s="19"/>
      <c r="E43" s="19"/>
      <c r="F43" s="33"/>
      <c r="G43" s="19"/>
      <c r="H43" s="19"/>
      <c r="I43" s="101"/>
      <c r="J43" s="9"/>
      <c r="K43" s="9"/>
      <c r="L43" s="9"/>
    </row>
    <row r="44" spans="1:12" ht="12.75">
      <c r="A44" s="140" t="s">
        <v>217</v>
      </c>
      <c r="B44" s="176"/>
      <c r="C44" s="139"/>
      <c r="D44" s="135"/>
      <c r="E44" s="25"/>
      <c r="F44" s="132"/>
      <c r="G44" s="158"/>
      <c r="H44" s="158"/>
      <c r="I44" s="159"/>
      <c r="J44" s="9"/>
      <c r="K44" s="9"/>
      <c r="L44" s="9"/>
    </row>
    <row r="45" spans="1:12" ht="12.75">
      <c r="A45" s="98"/>
      <c r="B45" s="29"/>
      <c r="C45" s="177"/>
      <c r="D45" s="178"/>
      <c r="E45" s="15"/>
      <c r="F45" s="177"/>
      <c r="G45" s="179"/>
      <c r="H45" s="34"/>
      <c r="I45" s="102"/>
      <c r="J45" s="9"/>
      <c r="K45" s="9"/>
      <c r="L45" s="9"/>
    </row>
    <row r="46" spans="1:12" ht="12.75">
      <c r="A46" s="140" t="s">
        <v>218</v>
      </c>
      <c r="B46" s="176"/>
      <c r="C46" s="124" t="s">
        <v>283</v>
      </c>
      <c r="D46" s="180"/>
      <c r="E46" s="180"/>
      <c r="F46" s="180"/>
      <c r="G46" s="180"/>
      <c r="H46" s="180"/>
      <c r="I46" s="181"/>
      <c r="J46" s="9"/>
      <c r="K46" s="9"/>
      <c r="L46" s="9"/>
    </row>
    <row r="47" spans="1:12" ht="12.75">
      <c r="A47" s="89"/>
      <c r="B47" s="21"/>
      <c r="C47" s="20" t="s">
        <v>219</v>
      </c>
      <c r="D47" s="15"/>
      <c r="E47" s="15"/>
      <c r="F47" s="15"/>
      <c r="G47" s="15"/>
      <c r="H47" s="15"/>
      <c r="I47" s="90"/>
      <c r="J47" s="9"/>
      <c r="K47" s="9"/>
      <c r="L47" s="9"/>
    </row>
    <row r="48" spans="1:12" ht="12.75">
      <c r="A48" s="140" t="s">
        <v>220</v>
      </c>
      <c r="B48" s="176"/>
      <c r="C48" s="182" t="s">
        <v>284</v>
      </c>
      <c r="D48" s="183"/>
      <c r="E48" s="184"/>
      <c r="F48" s="15"/>
      <c r="G48" s="50" t="s">
        <v>221</v>
      </c>
      <c r="H48" s="185" t="s">
        <v>285</v>
      </c>
      <c r="I48" s="186"/>
      <c r="J48" s="9"/>
      <c r="K48" s="9"/>
      <c r="L48" s="9"/>
    </row>
    <row r="49" spans="1:12" ht="12.75">
      <c r="A49" s="89"/>
      <c r="B49" s="21"/>
      <c r="C49" s="20"/>
      <c r="D49" s="15"/>
      <c r="E49" s="15"/>
      <c r="F49" s="15"/>
      <c r="G49" s="15"/>
      <c r="H49" s="15"/>
      <c r="I49" s="90"/>
      <c r="J49" s="9"/>
      <c r="K49" s="9"/>
      <c r="L49" s="9"/>
    </row>
    <row r="50" spans="1:12" ht="12.75">
      <c r="A50" s="140" t="s">
        <v>207</v>
      </c>
      <c r="B50" s="176"/>
      <c r="C50" s="191" t="s">
        <v>278</v>
      </c>
      <c r="D50" s="192"/>
      <c r="E50" s="192"/>
      <c r="F50" s="192"/>
      <c r="G50" s="192"/>
      <c r="H50" s="192"/>
      <c r="I50" s="193"/>
      <c r="J50" s="9"/>
      <c r="K50" s="9"/>
      <c r="L50" s="9"/>
    </row>
    <row r="51" spans="1:12" ht="12.75">
      <c r="A51" s="89"/>
      <c r="B51" s="21"/>
      <c r="C51" s="15"/>
      <c r="D51" s="15"/>
      <c r="E51" s="15"/>
      <c r="F51" s="15"/>
      <c r="G51" s="15"/>
      <c r="H51" s="15"/>
      <c r="I51" s="90"/>
      <c r="J51" s="9"/>
      <c r="K51" s="9"/>
      <c r="L51" s="9"/>
    </row>
    <row r="52" spans="1:12" ht="12.75">
      <c r="A52" s="151" t="s">
        <v>222</v>
      </c>
      <c r="B52" s="138"/>
      <c r="C52" s="194" t="s">
        <v>286</v>
      </c>
      <c r="D52" s="192"/>
      <c r="E52" s="192"/>
      <c r="F52" s="192"/>
      <c r="G52" s="192"/>
      <c r="H52" s="192"/>
      <c r="I52" s="123"/>
      <c r="J52" s="9"/>
      <c r="K52" s="9"/>
      <c r="L52" s="9"/>
    </row>
    <row r="53" spans="1:12" ht="12.75">
      <c r="A53" s="103"/>
      <c r="B53" s="19"/>
      <c r="C53" s="172" t="s">
        <v>223</v>
      </c>
      <c r="D53" s="172"/>
      <c r="E53" s="172"/>
      <c r="F53" s="172"/>
      <c r="G53" s="172"/>
      <c r="H53" s="172"/>
      <c r="I53" s="104"/>
      <c r="J53" s="9"/>
      <c r="K53" s="9"/>
      <c r="L53" s="9"/>
    </row>
    <row r="54" spans="1:12" ht="12.75">
      <c r="A54" s="103"/>
      <c r="B54" s="19"/>
      <c r="C54" s="35"/>
      <c r="D54" s="35"/>
      <c r="E54" s="35"/>
      <c r="F54" s="35"/>
      <c r="G54" s="35"/>
      <c r="H54" s="35"/>
      <c r="I54" s="104"/>
      <c r="J54" s="9"/>
      <c r="K54" s="9"/>
      <c r="L54" s="9"/>
    </row>
    <row r="55" spans="1:12" ht="12.75">
      <c r="A55" s="103"/>
      <c r="B55" s="195" t="s">
        <v>224</v>
      </c>
      <c r="C55" s="196"/>
      <c r="D55" s="196"/>
      <c r="E55" s="196"/>
      <c r="F55" s="48"/>
      <c r="G55" s="48"/>
      <c r="H55" s="48"/>
      <c r="I55" s="105"/>
      <c r="J55" s="9"/>
      <c r="K55" s="9"/>
      <c r="L55" s="9"/>
    </row>
    <row r="56" spans="1:12" ht="12.75">
      <c r="A56" s="103"/>
      <c r="B56" s="197" t="s">
        <v>256</v>
      </c>
      <c r="C56" s="198"/>
      <c r="D56" s="198"/>
      <c r="E56" s="198"/>
      <c r="F56" s="198"/>
      <c r="G56" s="198"/>
      <c r="H56" s="198"/>
      <c r="I56" s="199"/>
      <c r="J56" s="9"/>
      <c r="K56" s="9"/>
      <c r="L56" s="9"/>
    </row>
    <row r="57" spans="1:12" ht="12.75">
      <c r="A57" s="103"/>
      <c r="B57" s="197" t="s">
        <v>257</v>
      </c>
      <c r="C57" s="198"/>
      <c r="D57" s="198"/>
      <c r="E57" s="198"/>
      <c r="F57" s="198"/>
      <c r="G57" s="198"/>
      <c r="H57" s="198"/>
      <c r="I57" s="105"/>
      <c r="J57" s="9"/>
      <c r="K57" s="9"/>
      <c r="L57" s="9"/>
    </row>
    <row r="58" spans="1:12" ht="12.75">
      <c r="A58" s="103"/>
      <c r="B58" s="197" t="s">
        <v>258</v>
      </c>
      <c r="C58" s="198"/>
      <c r="D58" s="198"/>
      <c r="E58" s="198"/>
      <c r="F58" s="198"/>
      <c r="G58" s="198"/>
      <c r="H58" s="198"/>
      <c r="I58" s="199"/>
      <c r="J58" s="9"/>
      <c r="K58" s="9"/>
      <c r="L58" s="9"/>
    </row>
    <row r="59" spans="1:12" ht="12.75">
      <c r="A59" s="103"/>
      <c r="B59" s="197" t="s">
        <v>259</v>
      </c>
      <c r="C59" s="198"/>
      <c r="D59" s="198"/>
      <c r="E59" s="198"/>
      <c r="F59" s="198"/>
      <c r="G59" s="198"/>
      <c r="H59" s="198"/>
      <c r="I59" s="199"/>
      <c r="J59" s="9"/>
      <c r="K59" s="9"/>
      <c r="L59" s="9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9"/>
      <c r="K60" s="9"/>
      <c r="L60" s="9"/>
    </row>
    <row r="61" spans="1:12" ht="13.5" thickBot="1">
      <c r="A61" s="109" t="s">
        <v>225</v>
      </c>
      <c r="B61" s="15"/>
      <c r="C61" s="15"/>
      <c r="D61" s="15"/>
      <c r="E61" s="15"/>
      <c r="F61" s="15"/>
      <c r="G61" s="36"/>
      <c r="H61" s="37"/>
      <c r="I61" s="110"/>
      <c r="J61" s="9"/>
      <c r="K61" s="9"/>
      <c r="L61" s="9"/>
    </row>
    <row r="62" spans="1:12" ht="12.75">
      <c r="A62" s="85"/>
      <c r="B62" s="15"/>
      <c r="C62" s="15"/>
      <c r="D62" s="15"/>
      <c r="E62" s="19" t="s">
        <v>226</v>
      </c>
      <c r="F62" s="32"/>
      <c r="G62" s="173" t="s">
        <v>227</v>
      </c>
      <c r="H62" s="174"/>
      <c r="I62" s="175"/>
      <c r="J62" s="9"/>
      <c r="K62" s="9"/>
      <c r="L62" s="9"/>
    </row>
    <row r="63" spans="1:12" ht="12.75">
      <c r="A63" s="111"/>
      <c r="B63" s="112"/>
      <c r="C63" s="113"/>
      <c r="D63" s="113"/>
      <c r="E63" s="113"/>
      <c r="F63" s="113"/>
      <c r="G63" s="189"/>
      <c r="H63" s="190"/>
      <c r="I63" s="114"/>
      <c r="J63" s="9"/>
      <c r="K63" s="9"/>
      <c r="L63" s="9"/>
    </row>
  </sheetData>
  <sheetProtection/>
  <protectedRanges>
    <protectedRange sqref="E2 H2 A34:D34 A32:I32 A30:I30 I24" name="Range1"/>
    <protectedRange sqref="C6:D6" name="Range1_1_1_1"/>
    <protectedRange sqref="C8:D8" name="Range1_1_1_1_1"/>
    <protectedRange sqref="C10:D10" name="Range1_2"/>
    <protectedRange sqref="C14:D14" name="Range1_1"/>
    <protectedRange sqref="F14:I14" name="Range1_1_2"/>
    <protectedRange sqref="C16:I16" name="Range1_5"/>
    <protectedRange sqref="C18:I18" name="Range1_3"/>
    <protectedRange sqref="C20:I20" name="Range1_4"/>
    <protectedRange sqref="C22" name="Range1_6"/>
    <protectedRange sqref="D22:F22" name="Range1_7"/>
    <protectedRange sqref="C24" name="Range1_8"/>
    <protectedRange sqref="D24:G24" name="Range1_4_2"/>
    <protectedRange sqref="C26" name="Range1_9"/>
    <protectedRange sqref="I26" name="Range1_10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hotelimaestral@hotelimaestral.com"/>
    <hyperlink ref="C20" r:id="rId2" display="www.hotelimaestral.com"/>
    <hyperlink ref="C50" r:id="rId3" display="hotelimaestral@hotelimaestral.com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showGridLines="0" tabSelected="1" zoomScaleSheetLayoutView="110" zoomScalePageLayoutView="0" workbookViewId="0" topLeftCell="A1">
      <selection activeCell="A43" sqref="A43:H43"/>
    </sheetView>
  </sheetViews>
  <sheetFormatPr defaultColWidth="9.140625" defaultRowHeight="12.75"/>
  <cols>
    <col min="1" max="9" width="9.140625" style="51" customWidth="1"/>
    <col min="10" max="10" width="10.140625" style="51" customWidth="1"/>
    <col min="11" max="11" width="9.8515625" style="51" bestFit="1" customWidth="1"/>
    <col min="12" max="16384" width="9.140625" style="51" customWidth="1"/>
  </cols>
  <sheetData>
    <row r="1" spans="1:11" ht="12.75" customHeight="1">
      <c r="A1" s="233" t="s">
        <v>120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287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235" t="s">
        <v>288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33.75">
      <c r="A4" s="238" t="s">
        <v>34</v>
      </c>
      <c r="B4" s="239"/>
      <c r="C4" s="239"/>
      <c r="D4" s="239"/>
      <c r="E4" s="239"/>
      <c r="F4" s="239"/>
      <c r="G4" s="239"/>
      <c r="H4" s="240"/>
      <c r="I4" s="57" t="s">
        <v>228</v>
      </c>
      <c r="J4" s="58" t="s">
        <v>289</v>
      </c>
      <c r="K4" s="59" t="s">
        <v>290</v>
      </c>
    </row>
    <row r="5" spans="1:11" ht="12.75">
      <c r="A5" s="241">
        <v>1</v>
      </c>
      <c r="B5" s="241"/>
      <c r="C5" s="241"/>
      <c r="D5" s="241"/>
      <c r="E5" s="241"/>
      <c r="F5" s="241"/>
      <c r="G5" s="241"/>
      <c r="H5" s="241"/>
      <c r="I5" s="56">
        <v>2</v>
      </c>
      <c r="J5" s="55">
        <v>3</v>
      </c>
      <c r="K5" s="55">
        <v>4</v>
      </c>
    </row>
    <row r="6" spans="1:11" ht="12.75">
      <c r="A6" s="242"/>
      <c r="B6" s="243"/>
      <c r="C6" s="243"/>
      <c r="D6" s="243"/>
      <c r="E6" s="243"/>
      <c r="F6" s="243"/>
      <c r="G6" s="243"/>
      <c r="H6" s="243"/>
      <c r="I6" s="243"/>
      <c r="J6" s="243"/>
      <c r="K6" s="244"/>
    </row>
    <row r="7" spans="1:11" ht="12.75">
      <c r="A7" s="217" t="s">
        <v>35</v>
      </c>
      <c r="B7" s="218"/>
      <c r="C7" s="218"/>
      <c r="D7" s="218"/>
      <c r="E7" s="218"/>
      <c r="F7" s="218"/>
      <c r="G7" s="218"/>
      <c r="H7" s="232"/>
      <c r="I7" s="3">
        <v>1</v>
      </c>
      <c r="J7" s="6"/>
      <c r="K7" s="6"/>
    </row>
    <row r="8" spans="1:11" ht="12.75">
      <c r="A8" s="200" t="s">
        <v>9</v>
      </c>
      <c r="B8" s="201"/>
      <c r="C8" s="201"/>
      <c r="D8" s="201"/>
      <c r="E8" s="201"/>
      <c r="F8" s="201"/>
      <c r="G8" s="201"/>
      <c r="H8" s="202"/>
      <c r="I8" s="1">
        <v>2</v>
      </c>
      <c r="J8" s="52">
        <f>J9+J16+J26+J35+J39</f>
        <v>193347023</v>
      </c>
      <c r="K8" s="52">
        <f>K9+K16+K26+K35+K39</f>
        <v>192601010</v>
      </c>
    </row>
    <row r="9" spans="1:11" ht="12.75">
      <c r="A9" s="221" t="s">
        <v>162</v>
      </c>
      <c r="B9" s="222"/>
      <c r="C9" s="222"/>
      <c r="D9" s="222"/>
      <c r="E9" s="222"/>
      <c r="F9" s="222"/>
      <c r="G9" s="222"/>
      <c r="H9" s="223"/>
      <c r="I9" s="1">
        <v>3</v>
      </c>
      <c r="J9" s="52">
        <f>SUM(J10:J15)</f>
        <v>425</v>
      </c>
      <c r="K9" s="52">
        <f>SUM(K10:K15)</f>
        <v>66638</v>
      </c>
    </row>
    <row r="10" spans="1:11" ht="12.75">
      <c r="A10" s="221" t="s">
        <v>83</v>
      </c>
      <c r="B10" s="222"/>
      <c r="C10" s="222"/>
      <c r="D10" s="222"/>
      <c r="E10" s="222"/>
      <c r="F10" s="222"/>
      <c r="G10" s="222"/>
      <c r="H10" s="223"/>
      <c r="I10" s="1">
        <v>4</v>
      </c>
      <c r="J10" s="7"/>
      <c r="K10" s="7"/>
    </row>
    <row r="11" spans="1:11" ht="12.75">
      <c r="A11" s="221" t="s">
        <v>10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425</v>
      </c>
      <c r="K11" s="7">
        <v>66638</v>
      </c>
    </row>
    <row r="12" spans="1:11" ht="12.75">
      <c r="A12" s="221" t="s">
        <v>84</v>
      </c>
      <c r="B12" s="222"/>
      <c r="C12" s="222"/>
      <c r="D12" s="222"/>
      <c r="E12" s="222"/>
      <c r="F12" s="222"/>
      <c r="G12" s="222"/>
      <c r="H12" s="223"/>
      <c r="I12" s="1">
        <v>6</v>
      </c>
      <c r="J12" s="7"/>
      <c r="K12" s="7"/>
    </row>
    <row r="13" spans="1:11" ht="12.75">
      <c r="A13" s="221" t="s">
        <v>165</v>
      </c>
      <c r="B13" s="222"/>
      <c r="C13" s="222"/>
      <c r="D13" s="222"/>
      <c r="E13" s="222"/>
      <c r="F13" s="222"/>
      <c r="G13" s="222"/>
      <c r="H13" s="223"/>
      <c r="I13" s="1">
        <v>7</v>
      </c>
      <c r="J13" s="7"/>
      <c r="K13" s="7"/>
    </row>
    <row r="14" spans="1:11" ht="12.75">
      <c r="A14" s="221" t="s">
        <v>166</v>
      </c>
      <c r="B14" s="222"/>
      <c r="C14" s="222"/>
      <c r="D14" s="222"/>
      <c r="E14" s="222"/>
      <c r="F14" s="222"/>
      <c r="G14" s="222"/>
      <c r="H14" s="223"/>
      <c r="I14" s="1">
        <v>8</v>
      </c>
      <c r="J14" s="7"/>
      <c r="K14" s="7"/>
    </row>
    <row r="15" spans="1:11" ht="12.75">
      <c r="A15" s="221" t="s">
        <v>167</v>
      </c>
      <c r="B15" s="222"/>
      <c r="C15" s="222"/>
      <c r="D15" s="222"/>
      <c r="E15" s="222"/>
      <c r="F15" s="222"/>
      <c r="G15" s="222"/>
      <c r="H15" s="223"/>
      <c r="I15" s="1">
        <v>9</v>
      </c>
      <c r="J15" s="7"/>
      <c r="K15" s="7"/>
    </row>
    <row r="16" spans="1:11" ht="12.75">
      <c r="A16" s="221" t="s">
        <v>163</v>
      </c>
      <c r="B16" s="222"/>
      <c r="C16" s="222"/>
      <c r="D16" s="222"/>
      <c r="E16" s="222"/>
      <c r="F16" s="222"/>
      <c r="G16" s="222"/>
      <c r="H16" s="223"/>
      <c r="I16" s="1">
        <v>10</v>
      </c>
      <c r="J16" s="52">
        <f>SUM(J17:J25)</f>
        <v>193010819</v>
      </c>
      <c r="K16" s="52">
        <f>SUM(K17:K25)</f>
        <v>192198593</v>
      </c>
    </row>
    <row r="17" spans="1:11" ht="12.75">
      <c r="A17" s="221" t="s">
        <v>168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f>137089765+1694855</f>
        <v>138784620</v>
      </c>
      <c r="K17" s="7">
        <v>138784620</v>
      </c>
    </row>
    <row r="18" spans="1:11" ht="12.75">
      <c r="A18" s="221" t="s">
        <v>197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f>151206953-98565000-1212701-2229601-1256946</f>
        <v>47942705</v>
      </c>
      <c r="K18" s="7">
        <f>151269071-99790005-1244963-1282307-2288085</f>
        <v>46663711</v>
      </c>
    </row>
    <row r="19" spans="1:11" ht="12.75">
      <c r="A19" s="221" t="s">
        <v>169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f>24663198-1467093-102955-5395532-1434889-7457440-3952780-510468+2</f>
        <v>4342043</v>
      </c>
      <c r="K19" s="7">
        <f>24834007-1536844-102955-5485984-1464022-7504628-4123936-539959</f>
        <v>4075679</v>
      </c>
    </row>
    <row r="20" spans="1:11" ht="12.75">
      <c r="A20" s="221" t="s">
        <v>16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f>19025431-1172492-31960-14813835-1729525-281620-452352-3</f>
        <v>543644</v>
      </c>
      <c r="K20" s="7">
        <f>19089210-1224551-32295-14851628-1730330-299725-455456</f>
        <v>495225</v>
      </c>
    </row>
    <row r="21" spans="1:11" ht="12.75">
      <c r="A21" s="221" t="s">
        <v>17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/>
      <c r="K21" s="7"/>
    </row>
    <row r="22" spans="1:11" ht="12.75">
      <c r="A22" s="221" t="s">
        <v>43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/>
      <c r="K22" s="7"/>
    </row>
    <row r="23" spans="1:11" ht="12.75">
      <c r="A23" s="221" t="s">
        <v>44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1035974</v>
      </c>
      <c r="K23" s="7">
        <v>1817525</v>
      </c>
    </row>
    <row r="24" spans="1:11" ht="12.75">
      <c r="A24" s="221" t="s">
        <v>45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361833</v>
      </c>
      <c r="K24" s="7">
        <v>361833</v>
      </c>
    </row>
    <row r="25" spans="1:11" ht="12.75">
      <c r="A25" s="221" t="s">
        <v>46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>
        <v>0</v>
      </c>
      <c r="K25" s="7"/>
    </row>
    <row r="26" spans="1:11" ht="12.75">
      <c r="A26" s="221" t="s">
        <v>148</v>
      </c>
      <c r="B26" s="222"/>
      <c r="C26" s="222"/>
      <c r="D26" s="222"/>
      <c r="E26" s="222"/>
      <c r="F26" s="222"/>
      <c r="G26" s="222"/>
      <c r="H26" s="223"/>
      <c r="I26" s="1">
        <v>20</v>
      </c>
      <c r="J26" s="52">
        <f>SUM(J27:J34)</f>
        <v>335779</v>
      </c>
      <c r="K26" s="52">
        <f>SUM(K27:K34)</f>
        <v>335779</v>
      </c>
    </row>
    <row r="27" spans="1:11" ht="12.75">
      <c r="A27" s="221" t="s">
        <v>47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/>
      <c r="K27" s="7"/>
    </row>
    <row r="28" spans="1:11" ht="12.75">
      <c r="A28" s="221" t="s">
        <v>48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/>
      <c r="K28" s="7"/>
    </row>
    <row r="29" spans="1:11" ht="12.75">
      <c r="A29" s="221" t="s">
        <v>49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>
        <v>335779</v>
      </c>
      <c r="K29" s="7">
        <v>335779</v>
      </c>
    </row>
    <row r="30" spans="1:11" ht="12.75">
      <c r="A30" s="221" t="s">
        <v>54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/>
      <c r="K30" s="7"/>
    </row>
    <row r="31" spans="1:11" ht="12.75">
      <c r="A31" s="221" t="s">
        <v>55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/>
      <c r="K31" s="7"/>
    </row>
    <row r="32" spans="1:11" ht="12.75">
      <c r="A32" s="221" t="s">
        <v>56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/>
      <c r="K32" s="7"/>
    </row>
    <row r="33" spans="1:11" ht="12.75">
      <c r="A33" s="221" t="s">
        <v>50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/>
      <c r="K33" s="7"/>
    </row>
    <row r="34" spans="1:11" ht="12.75">
      <c r="A34" s="221" t="s">
        <v>141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/>
      <c r="K34" s="7"/>
    </row>
    <row r="35" spans="1:11" ht="12.75">
      <c r="A35" s="221" t="s">
        <v>142</v>
      </c>
      <c r="B35" s="222"/>
      <c r="C35" s="222"/>
      <c r="D35" s="222"/>
      <c r="E35" s="222"/>
      <c r="F35" s="222"/>
      <c r="G35" s="222"/>
      <c r="H35" s="223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21" t="s">
        <v>51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/>
      <c r="K36" s="7"/>
    </row>
    <row r="37" spans="1:11" ht="12.75">
      <c r="A37" s="221" t="s">
        <v>52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/>
      <c r="K37" s="7"/>
    </row>
    <row r="38" spans="1:11" ht="12.75">
      <c r="A38" s="221" t="s">
        <v>53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/>
      <c r="K38" s="7"/>
    </row>
    <row r="39" spans="1:11" ht="12.75">
      <c r="A39" s="221" t="s">
        <v>143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/>
      <c r="K39" s="7"/>
    </row>
    <row r="40" spans="1:11" ht="12.75">
      <c r="A40" s="200" t="s">
        <v>190</v>
      </c>
      <c r="B40" s="201"/>
      <c r="C40" s="201"/>
      <c r="D40" s="201"/>
      <c r="E40" s="201"/>
      <c r="F40" s="201"/>
      <c r="G40" s="201"/>
      <c r="H40" s="202"/>
      <c r="I40" s="1">
        <v>34</v>
      </c>
      <c r="J40" s="52">
        <f>J41+J49+J56+J64</f>
        <v>4018364</v>
      </c>
      <c r="K40" s="52">
        <f>K41+K49+K56+K64</f>
        <v>14498996.98</v>
      </c>
    </row>
    <row r="41" spans="1:11" ht="12.75">
      <c r="A41" s="221" t="s">
        <v>71</v>
      </c>
      <c r="B41" s="222"/>
      <c r="C41" s="222"/>
      <c r="D41" s="222"/>
      <c r="E41" s="222"/>
      <c r="F41" s="222"/>
      <c r="G41" s="222"/>
      <c r="H41" s="223"/>
      <c r="I41" s="1">
        <v>35</v>
      </c>
      <c r="J41" s="52">
        <f>SUM(J42:J48)</f>
        <v>790398</v>
      </c>
      <c r="K41" s="52">
        <f>SUM(K42:K48)</f>
        <v>914783.72</v>
      </c>
    </row>
    <row r="42" spans="1:11" ht="12.75">
      <c r="A42" s="221" t="s">
        <v>86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f>789194-17445</f>
        <v>771749</v>
      </c>
      <c r="K42" s="7">
        <f>896111.72-10151</f>
        <v>885960.72</v>
      </c>
    </row>
    <row r="43" spans="1:11" ht="12.75">
      <c r="A43" s="221" t="s">
        <v>87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/>
      <c r="K43" s="7"/>
    </row>
    <row r="44" spans="1:11" ht="12.75">
      <c r="A44" s="221" t="s">
        <v>57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/>
      <c r="K44" s="7"/>
    </row>
    <row r="45" spans="1:11" ht="12.75">
      <c r="A45" s="221" t="s">
        <v>58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1204</v>
      </c>
      <c r="K45" s="7">
        <v>18672</v>
      </c>
    </row>
    <row r="46" spans="1:11" ht="12.75">
      <c r="A46" s="221" t="s">
        <v>59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>
        <v>17445</v>
      </c>
      <c r="K46" s="7">
        <v>10151</v>
      </c>
    </row>
    <row r="47" spans="1:11" ht="12.75">
      <c r="A47" s="221" t="s">
        <v>60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/>
      <c r="K47" s="7"/>
    </row>
    <row r="48" spans="1:11" ht="12.75">
      <c r="A48" s="221" t="s">
        <v>61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/>
      <c r="K48" s="7"/>
    </row>
    <row r="49" spans="1:11" ht="12.75">
      <c r="A49" s="221" t="s">
        <v>72</v>
      </c>
      <c r="B49" s="222"/>
      <c r="C49" s="222"/>
      <c r="D49" s="222"/>
      <c r="E49" s="222"/>
      <c r="F49" s="222"/>
      <c r="G49" s="222"/>
      <c r="H49" s="223"/>
      <c r="I49" s="1">
        <v>43</v>
      </c>
      <c r="J49" s="52">
        <f>SUM(J50:J55)</f>
        <v>1957518</v>
      </c>
      <c r="K49" s="52">
        <f>SUM(K50:K55)</f>
        <v>7984280.26</v>
      </c>
    </row>
    <row r="50" spans="1:11" ht="12.75">
      <c r="A50" s="221" t="s">
        <v>157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/>
      <c r="K50" s="7"/>
    </row>
    <row r="51" spans="1:11" ht="12.75">
      <c r="A51" s="221" t="s">
        <v>158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531606</v>
      </c>
      <c r="K51" s="7">
        <v>5835370</v>
      </c>
    </row>
    <row r="52" spans="1:11" ht="12.75">
      <c r="A52" s="221" t="s">
        <v>159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/>
      <c r="K52" s="7"/>
    </row>
    <row r="53" spans="1:11" ht="12.75">
      <c r="A53" s="221" t="s">
        <v>160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2706</v>
      </c>
      <c r="K53" s="7">
        <v>358279</v>
      </c>
    </row>
    <row r="54" spans="1:11" ht="12.75">
      <c r="A54" s="221" t="s">
        <v>7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f>11351+234581</f>
        <v>245932</v>
      </c>
      <c r="K54" s="7">
        <f>20207+652216+830</f>
        <v>673253</v>
      </c>
    </row>
    <row r="55" spans="1:11" ht="12.75">
      <c r="A55" s="221" t="s">
        <v>8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f>19000+1158274</f>
        <v>1177274</v>
      </c>
      <c r="K55" s="7">
        <f>2726+1114652.26</f>
        <v>1117378.26</v>
      </c>
    </row>
    <row r="56" spans="1:11" ht="12.75">
      <c r="A56" s="221" t="s">
        <v>73</v>
      </c>
      <c r="B56" s="222"/>
      <c r="C56" s="222"/>
      <c r="D56" s="222"/>
      <c r="E56" s="222"/>
      <c r="F56" s="222"/>
      <c r="G56" s="222"/>
      <c r="H56" s="223"/>
      <c r="I56" s="1">
        <v>50</v>
      </c>
      <c r="J56" s="52">
        <f>SUM(J57:J63)</f>
        <v>0</v>
      </c>
      <c r="K56" s="52">
        <f>SUM(K57:K63)</f>
        <v>0</v>
      </c>
    </row>
    <row r="57" spans="1:11" ht="12.75">
      <c r="A57" s="221" t="s">
        <v>47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/>
      <c r="K57" s="7"/>
    </row>
    <row r="58" spans="1:11" ht="12.75">
      <c r="A58" s="221" t="s">
        <v>48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/>
      <c r="K58" s="7"/>
    </row>
    <row r="59" spans="1:11" ht="12.75">
      <c r="A59" s="221" t="s">
        <v>192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/>
      <c r="K59" s="7"/>
    </row>
    <row r="60" spans="1:11" ht="12.75">
      <c r="A60" s="221" t="s">
        <v>54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/>
      <c r="K60" s="7"/>
    </row>
    <row r="61" spans="1:11" ht="12.75">
      <c r="A61" s="221" t="s">
        <v>55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/>
      <c r="K61" s="7"/>
    </row>
    <row r="62" spans="1:11" ht="12.75">
      <c r="A62" s="221" t="s">
        <v>56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/>
      <c r="K62" s="7"/>
    </row>
    <row r="63" spans="1:11" ht="12.75">
      <c r="A63" s="221" t="s">
        <v>26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/>
      <c r="K63" s="7"/>
    </row>
    <row r="64" spans="1:11" ht="12.75">
      <c r="A64" s="221" t="s">
        <v>164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1270448</v>
      </c>
      <c r="K64" s="7">
        <v>5599933</v>
      </c>
    </row>
    <row r="65" spans="1:11" ht="12.75">
      <c r="A65" s="200" t="s">
        <v>31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>
        <v>829150</v>
      </c>
      <c r="K65" s="7">
        <v>4567240</v>
      </c>
    </row>
    <row r="66" spans="1:11" ht="12.75">
      <c r="A66" s="200" t="s">
        <v>191</v>
      </c>
      <c r="B66" s="201"/>
      <c r="C66" s="201"/>
      <c r="D66" s="201"/>
      <c r="E66" s="201"/>
      <c r="F66" s="201"/>
      <c r="G66" s="201"/>
      <c r="H66" s="202"/>
      <c r="I66" s="1">
        <v>60</v>
      </c>
      <c r="J66" s="52">
        <f>J7+J8+J40+J65</f>
        <v>198194537</v>
      </c>
      <c r="K66" s="52">
        <f>K7+K8+K40+K65</f>
        <v>211667246.98</v>
      </c>
    </row>
    <row r="67" spans="1:11" ht="12.75">
      <c r="A67" s="227" t="s">
        <v>62</v>
      </c>
      <c r="B67" s="228"/>
      <c r="C67" s="228"/>
      <c r="D67" s="228"/>
      <c r="E67" s="228"/>
      <c r="F67" s="228"/>
      <c r="G67" s="228"/>
      <c r="H67" s="229"/>
      <c r="I67" s="4">
        <v>61</v>
      </c>
      <c r="J67" s="8">
        <v>108026196</v>
      </c>
      <c r="K67" s="8">
        <v>108026196</v>
      </c>
    </row>
    <row r="68" spans="1:11" ht="12.75">
      <c r="A68" s="213" t="s">
        <v>33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17" t="s">
        <v>149</v>
      </c>
      <c r="B69" s="218"/>
      <c r="C69" s="218"/>
      <c r="D69" s="218"/>
      <c r="E69" s="218"/>
      <c r="F69" s="218"/>
      <c r="G69" s="218"/>
      <c r="H69" s="232"/>
      <c r="I69" s="3">
        <v>62</v>
      </c>
      <c r="J69" s="53">
        <f>J70+J71+J72+J78+J79+J82+J85</f>
        <v>118496884</v>
      </c>
      <c r="K69" s="53">
        <f>K70+K71+K72+K78+K79+K82+K85</f>
        <v>112273824</v>
      </c>
    </row>
    <row r="70" spans="1:11" ht="12.75">
      <c r="A70" s="221" t="s">
        <v>110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103144000</v>
      </c>
      <c r="K70" s="7">
        <v>103144000</v>
      </c>
    </row>
    <row r="71" spans="1:11" ht="12.75">
      <c r="A71" s="221" t="s">
        <v>111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/>
      <c r="K71" s="7"/>
    </row>
    <row r="72" spans="1:11" ht="12.75">
      <c r="A72" s="221" t="s">
        <v>112</v>
      </c>
      <c r="B72" s="222"/>
      <c r="C72" s="222"/>
      <c r="D72" s="222"/>
      <c r="E72" s="222"/>
      <c r="F72" s="222"/>
      <c r="G72" s="222"/>
      <c r="H72" s="223"/>
      <c r="I72" s="1">
        <v>65</v>
      </c>
      <c r="J72" s="52">
        <f>J73+J74-J75+J76+J77</f>
        <v>9808842</v>
      </c>
      <c r="K72" s="52">
        <f>K73+K74-K75+K76+K77</f>
        <v>9808842</v>
      </c>
    </row>
    <row r="73" spans="1:11" ht="12.75">
      <c r="A73" s="221" t="s">
        <v>113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>
        <v>216263</v>
      </c>
      <c r="K73" s="7">
        <v>216263</v>
      </c>
    </row>
    <row r="74" spans="1:11" ht="12.75">
      <c r="A74" s="221" t="s">
        <v>114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/>
      <c r="K74" s="7"/>
    </row>
    <row r="75" spans="1:11" ht="12.75">
      <c r="A75" s="221" t="s">
        <v>102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/>
      <c r="K75" s="7"/>
    </row>
    <row r="76" spans="1:11" ht="12.75">
      <c r="A76" s="221" t="s">
        <v>103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/>
      <c r="K76" s="7"/>
    </row>
    <row r="77" spans="1:11" ht="12.75">
      <c r="A77" s="221" t="s">
        <v>104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>
        <v>9592579</v>
      </c>
      <c r="K77" s="7">
        <v>9592579</v>
      </c>
    </row>
    <row r="78" spans="1:11" ht="12.75">
      <c r="A78" s="221" t="s">
        <v>105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>
        <v>27164505</v>
      </c>
      <c r="K78" s="7">
        <v>27164505</v>
      </c>
    </row>
    <row r="79" spans="1:11" ht="12.75">
      <c r="A79" s="221" t="s">
        <v>188</v>
      </c>
      <c r="B79" s="222"/>
      <c r="C79" s="222"/>
      <c r="D79" s="222"/>
      <c r="E79" s="222"/>
      <c r="F79" s="222"/>
      <c r="G79" s="222"/>
      <c r="H79" s="223"/>
      <c r="I79" s="1">
        <v>72</v>
      </c>
      <c r="J79" s="52">
        <f>J80-J81</f>
        <v>-22900565</v>
      </c>
      <c r="K79" s="52">
        <f>K80-K81</f>
        <v>-21620463</v>
      </c>
    </row>
    <row r="80" spans="1:11" ht="12.75">
      <c r="A80" s="224" t="s">
        <v>132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/>
      <c r="K80" s="7"/>
    </row>
    <row r="81" spans="1:11" ht="12.75">
      <c r="A81" s="224" t="s">
        <v>133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>
        <v>22900565</v>
      </c>
      <c r="K81" s="7">
        <v>21620463</v>
      </c>
    </row>
    <row r="82" spans="1:11" ht="12.75">
      <c r="A82" s="221" t="s">
        <v>189</v>
      </c>
      <c r="B82" s="222"/>
      <c r="C82" s="222"/>
      <c r="D82" s="222"/>
      <c r="E82" s="222"/>
      <c r="F82" s="222"/>
      <c r="G82" s="222"/>
      <c r="H82" s="223"/>
      <c r="I82" s="1">
        <v>75</v>
      </c>
      <c r="J82" s="52">
        <f>J83-J84</f>
        <v>1280102</v>
      </c>
      <c r="K82" s="52">
        <f>K83-K84</f>
        <v>-6223060</v>
      </c>
    </row>
    <row r="83" spans="1:11" ht="12.75">
      <c r="A83" s="224" t="s">
        <v>134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1280102</v>
      </c>
      <c r="K83" s="7"/>
    </row>
    <row r="84" spans="1:11" ht="12.75">
      <c r="A84" s="224" t="s">
        <v>135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/>
      <c r="K84" s="7">
        <v>6223060</v>
      </c>
    </row>
    <row r="85" spans="1:11" ht="12.75">
      <c r="A85" s="221" t="s">
        <v>136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/>
      <c r="K85" s="7"/>
    </row>
    <row r="86" spans="1:11" ht="12.75">
      <c r="A86" s="200" t="s">
        <v>12</v>
      </c>
      <c r="B86" s="201"/>
      <c r="C86" s="201"/>
      <c r="D86" s="201"/>
      <c r="E86" s="201"/>
      <c r="F86" s="201"/>
      <c r="G86" s="201"/>
      <c r="H86" s="202"/>
      <c r="I86" s="1">
        <v>79</v>
      </c>
      <c r="J86" s="52">
        <f>SUM(J87:J89)</f>
        <v>605741</v>
      </c>
      <c r="K86" s="52">
        <f>SUM(K87:K89)</f>
        <v>389982</v>
      </c>
    </row>
    <row r="87" spans="1:11" ht="12.75">
      <c r="A87" s="221" t="s">
        <v>98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/>
      <c r="K87" s="7"/>
    </row>
    <row r="88" spans="1:11" ht="12.75">
      <c r="A88" s="221" t="s">
        <v>99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/>
      <c r="K88" s="7"/>
    </row>
    <row r="89" spans="1:11" ht="12.75">
      <c r="A89" s="221" t="s">
        <v>100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>
        <v>605741</v>
      </c>
      <c r="K89" s="7">
        <v>389982</v>
      </c>
    </row>
    <row r="90" spans="1:11" ht="12.75">
      <c r="A90" s="200" t="s">
        <v>13</v>
      </c>
      <c r="B90" s="201"/>
      <c r="C90" s="201"/>
      <c r="D90" s="201"/>
      <c r="E90" s="201"/>
      <c r="F90" s="201"/>
      <c r="G90" s="201"/>
      <c r="H90" s="202"/>
      <c r="I90" s="1">
        <v>83</v>
      </c>
      <c r="J90" s="52">
        <f>SUM(J91:J99)</f>
        <v>66942773</v>
      </c>
      <c r="K90" s="52">
        <f>SUM(K91:K99)</f>
        <v>67203306</v>
      </c>
    </row>
    <row r="91" spans="1:11" ht="12.75">
      <c r="A91" s="221" t="s">
        <v>101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>
        <f>38773390+4547756</f>
        <v>43321146</v>
      </c>
      <c r="K91" s="7">
        <v>42945247</v>
      </c>
    </row>
    <row r="92" spans="1:11" ht="12.75">
      <c r="A92" s="221" t="s">
        <v>193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/>
      <c r="K92" s="7"/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23621627</v>
      </c>
      <c r="K93" s="7">
        <f>67203306-42945247</f>
        <v>24258059</v>
      </c>
    </row>
    <row r="94" spans="1:11" ht="12.75">
      <c r="A94" s="221" t="s">
        <v>194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/>
      <c r="K94" s="7"/>
    </row>
    <row r="95" spans="1:11" ht="12.75">
      <c r="A95" s="221" t="s">
        <v>195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/>
      <c r="K95" s="7"/>
    </row>
    <row r="96" spans="1:11" ht="12.75">
      <c r="A96" s="221" t="s">
        <v>196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/>
      <c r="K96" s="7"/>
    </row>
    <row r="97" spans="1:11" ht="12.75">
      <c r="A97" s="221" t="s">
        <v>65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/>
      <c r="K97" s="7"/>
    </row>
    <row r="98" spans="1:11" ht="12.75">
      <c r="A98" s="221" t="s">
        <v>63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/>
      <c r="K98" s="7"/>
    </row>
    <row r="99" spans="1:11" ht="12.75">
      <c r="A99" s="221" t="s">
        <v>64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/>
      <c r="K99" s="7"/>
    </row>
    <row r="100" spans="1:11" ht="12.75">
      <c r="A100" s="200" t="s">
        <v>14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52">
        <f>SUM(J101:J112)</f>
        <v>11354630</v>
      </c>
      <c r="K100" s="52">
        <f>SUM(K101:K112)</f>
        <v>26234470</v>
      </c>
    </row>
    <row r="101" spans="1:11" ht="12.75">
      <c r="A101" s="221" t="s">
        <v>101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>
        <v>0</v>
      </c>
      <c r="K101" s="7">
        <v>1277322</v>
      </c>
    </row>
    <row r="102" spans="1:11" ht="12.75">
      <c r="A102" s="221" t="s">
        <v>193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/>
      <c r="K102" s="7"/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8057014</v>
      </c>
      <c r="K103" s="7">
        <v>13647779</v>
      </c>
    </row>
    <row r="104" spans="1:11" ht="12.75">
      <c r="A104" s="221" t="s">
        <v>194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899939</v>
      </c>
      <c r="K104" s="7">
        <v>3008675</v>
      </c>
    </row>
    <row r="105" spans="1:11" ht="12.75">
      <c r="A105" s="221" t="s">
        <v>195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610148</v>
      </c>
      <c r="K105" s="7">
        <v>4635440</v>
      </c>
    </row>
    <row r="106" spans="1:11" ht="12.75">
      <c r="A106" s="221" t="s">
        <v>196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/>
      <c r="K106" s="7"/>
    </row>
    <row r="107" spans="1:11" ht="12.75">
      <c r="A107" s="221" t="s">
        <v>65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/>
      <c r="K107" s="7"/>
    </row>
    <row r="108" spans="1:11" ht="12.75">
      <c r="A108" s="221" t="s">
        <v>66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f>14150+31323+1001728</f>
        <v>1047201</v>
      </c>
      <c r="K108" s="7">
        <f>41566+120647+1225449</f>
        <v>1387662</v>
      </c>
    </row>
    <row r="109" spans="1:11" ht="12.75">
      <c r="A109" s="221" t="s">
        <v>67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f>211346+116564+11707+287215+138669+14599+8656-58928</f>
        <v>729828</v>
      </c>
      <c r="K109" s="7">
        <f>22212+298569+314744+15848+357743+637353-427636+1042924</f>
        <v>2261757</v>
      </c>
    </row>
    <row r="110" spans="1:11" ht="12.75">
      <c r="A110" s="221" t="s">
        <v>70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/>
      <c r="K110" s="7"/>
    </row>
    <row r="111" spans="1:11" ht="12.75">
      <c r="A111" s="221" t="s">
        <v>68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/>
      <c r="K111" s="7"/>
    </row>
    <row r="112" spans="1:11" ht="12.75">
      <c r="A112" s="221" t="s">
        <v>69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f>10000+500</f>
        <v>10500</v>
      </c>
      <c r="K112" s="7">
        <f>15500+333+2</f>
        <v>15835</v>
      </c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>
        <v>794509</v>
      </c>
      <c r="K113" s="7">
        <v>5565665</v>
      </c>
    </row>
    <row r="114" spans="1:11" ht="12.75">
      <c r="A114" s="200" t="s">
        <v>15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52">
        <f>J69+J86+J90+J100+J113</f>
        <v>198194537</v>
      </c>
      <c r="K114" s="52">
        <f>K69+K86+K90+K100+K113</f>
        <v>211667247</v>
      </c>
    </row>
    <row r="115" spans="1:11" ht="12.75">
      <c r="A115" s="210" t="s">
        <v>32</v>
      </c>
      <c r="B115" s="211"/>
      <c r="C115" s="211"/>
      <c r="D115" s="211"/>
      <c r="E115" s="211"/>
      <c r="F115" s="211"/>
      <c r="G115" s="211"/>
      <c r="H115" s="212"/>
      <c r="I115" s="2">
        <v>108</v>
      </c>
      <c r="J115" s="8">
        <v>108026196</v>
      </c>
      <c r="K115" s="8">
        <v>108026196</v>
      </c>
    </row>
    <row r="116" spans="1:11" ht="12.75">
      <c r="A116" s="213" t="s">
        <v>260</v>
      </c>
      <c r="B116" s="214"/>
      <c r="C116" s="214"/>
      <c r="D116" s="214"/>
      <c r="E116" s="214"/>
      <c r="F116" s="214"/>
      <c r="G116" s="214"/>
      <c r="H116" s="214"/>
      <c r="I116" s="215"/>
      <c r="J116" s="215"/>
      <c r="K116" s="216"/>
    </row>
    <row r="117" spans="1:11" ht="12.75">
      <c r="A117" s="217" t="s">
        <v>144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221" t="s">
        <v>5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/>
      <c r="K118" s="7"/>
    </row>
    <row r="119" spans="1:11" ht="12.75">
      <c r="A119" s="203" t="s">
        <v>6</v>
      </c>
      <c r="B119" s="204"/>
      <c r="C119" s="204"/>
      <c r="D119" s="204"/>
      <c r="E119" s="204"/>
      <c r="F119" s="204"/>
      <c r="G119" s="204"/>
      <c r="H119" s="205"/>
      <c r="I119" s="4">
        <v>110</v>
      </c>
      <c r="J119" s="8"/>
      <c r="K119" s="8"/>
    </row>
    <row r="120" spans="1:11" ht="12.75">
      <c r="A120" s="206" t="s">
        <v>261</v>
      </c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1:11" ht="12.75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3">
    <dataValidation allowBlank="1" sqref="A1:I65536 K1:IV65536 J1:J10 J12:J16 J26:J28 J43:J44 J30:J41 J47:J50 J56:J63 J66 J71:J72 J79:J80 J82 J84:J88 J90 J94:J100 J68:J69 J114 J116:J65536"/>
    <dataValidation type="whole" operator="greaterThanOrEqual" allowBlank="1" showInputMessage="1" showErrorMessage="1" errorTitle="Pogrešan unos" error="Mogu se unijeti samo cjelobrojne pozitivne vrijednosti." sqref="J11 J17:J25 J29 J45:J46 J42 J51:J55 J64:J65 J67 J73:J77 J81 J83 J89 J91:J93 J101:J113 J70 J11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showGridLines="0" zoomScaleSheetLayoutView="110" zoomScalePageLayoutView="0" workbookViewId="0" topLeftCell="A37">
      <selection activeCell="O7" sqref="O7"/>
    </sheetView>
  </sheetViews>
  <sheetFormatPr defaultColWidth="9.140625" defaultRowHeight="12.75"/>
  <cols>
    <col min="1" max="9" width="9.140625" style="51" customWidth="1"/>
    <col min="10" max="10" width="12.57421875" style="51" customWidth="1"/>
    <col min="11" max="11" width="11.57421875" style="51" customWidth="1"/>
    <col min="12" max="12" width="10.7109375" style="51" customWidth="1"/>
    <col min="13" max="13" width="11.57421875" style="51" customWidth="1"/>
    <col min="14" max="16384" width="9.140625" style="51" customWidth="1"/>
  </cols>
  <sheetData>
    <row r="1" spans="1:13" ht="12.75" customHeight="1">
      <c r="A1" s="233" t="s">
        <v>121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>
      <c r="A2" s="245" t="s">
        <v>291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47" t="s">
        <v>288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2.5">
      <c r="A4" s="246" t="s">
        <v>34</v>
      </c>
      <c r="B4" s="246"/>
      <c r="C4" s="246"/>
      <c r="D4" s="246"/>
      <c r="E4" s="246"/>
      <c r="F4" s="246"/>
      <c r="G4" s="246"/>
      <c r="H4" s="246"/>
      <c r="I4" s="59" t="s">
        <v>299</v>
      </c>
      <c r="J4" s="246" t="s">
        <v>298</v>
      </c>
      <c r="K4" s="246"/>
      <c r="L4" s="246" t="s">
        <v>297</v>
      </c>
      <c r="M4" s="246"/>
    </row>
    <row r="5" spans="1:13" ht="12.75">
      <c r="A5" s="246"/>
      <c r="B5" s="246"/>
      <c r="C5" s="246"/>
      <c r="D5" s="246"/>
      <c r="E5" s="246"/>
      <c r="F5" s="246"/>
      <c r="G5" s="246"/>
      <c r="H5" s="246"/>
      <c r="I5" s="59"/>
      <c r="J5" s="59" t="s">
        <v>264</v>
      </c>
      <c r="K5" s="59" t="s">
        <v>265</v>
      </c>
      <c r="L5" s="59" t="s">
        <v>264</v>
      </c>
      <c r="M5" s="59" t="s">
        <v>265</v>
      </c>
    </row>
    <row r="6" spans="1:13" ht="12.75">
      <c r="A6" s="290">
        <v>1</v>
      </c>
      <c r="B6" s="290"/>
      <c r="C6" s="290"/>
      <c r="D6" s="290"/>
      <c r="E6" s="290"/>
      <c r="F6" s="290"/>
      <c r="G6" s="290"/>
      <c r="H6" s="290"/>
      <c r="I6" s="292">
        <v>2</v>
      </c>
      <c r="J6" s="291">
        <v>3</v>
      </c>
      <c r="K6" s="291">
        <v>4</v>
      </c>
      <c r="L6" s="291">
        <v>5</v>
      </c>
      <c r="M6" s="291">
        <v>6</v>
      </c>
    </row>
    <row r="7" spans="1:13" ht="12.75">
      <c r="A7" s="293" t="s">
        <v>300</v>
      </c>
      <c r="B7" s="294"/>
      <c r="C7" s="294"/>
      <c r="D7" s="294"/>
      <c r="E7" s="294"/>
      <c r="F7" s="294"/>
      <c r="G7" s="294"/>
      <c r="H7" s="295"/>
      <c r="I7" s="296">
        <v>111</v>
      </c>
      <c r="J7" s="297">
        <f>SUM(J8:J9)</f>
        <v>14667345</v>
      </c>
      <c r="K7" s="297">
        <f>SUM(K8:K9)</f>
        <v>14496009</v>
      </c>
      <c r="L7" s="297">
        <f>SUM(L8:L9)</f>
        <v>14483769</v>
      </c>
      <c r="M7" s="297">
        <f>SUM(M8:M9)</f>
        <v>14356957</v>
      </c>
    </row>
    <row r="8" spans="1:13" ht="12.75">
      <c r="A8" s="298" t="s">
        <v>119</v>
      </c>
      <c r="B8" s="299"/>
      <c r="C8" s="299"/>
      <c r="D8" s="299"/>
      <c r="E8" s="299"/>
      <c r="F8" s="299"/>
      <c r="G8" s="299"/>
      <c r="H8" s="300"/>
      <c r="I8" s="301">
        <v>112</v>
      </c>
      <c r="J8" s="302">
        <f>2651555+11705086</f>
        <v>14356641</v>
      </c>
      <c r="K8" s="302">
        <f>14356641-56218</f>
        <v>14300423</v>
      </c>
      <c r="L8" s="302">
        <f>2546959+11615034+2</f>
        <v>14161995</v>
      </c>
      <c r="M8" s="302">
        <f>2546959+11615034+2</f>
        <v>14161995</v>
      </c>
    </row>
    <row r="9" spans="1:13" ht="12.75">
      <c r="A9" s="298" t="s">
        <v>74</v>
      </c>
      <c r="B9" s="299"/>
      <c r="C9" s="299"/>
      <c r="D9" s="299"/>
      <c r="E9" s="299"/>
      <c r="F9" s="299"/>
      <c r="G9" s="299"/>
      <c r="H9" s="300"/>
      <c r="I9" s="301">
        <v>113</v>
      </c>
      <c r="J9" s="302">
        <f>7329+223336+40535+39504</f>
        <v>310704</v>
      </c>
      <c r="K9" s="302">
        <f>310704-115118</f>
        <v>195586</v>
      </c>
      <c r="L9" s="302">
        <f>2436+225859+14917+36961+41601</f>
        <v>321774</v>
      </c>
      <c r="M9" s="302">
        <f>321774-126812</f>
        <v>194962</v>
      </c>
    </row>
    <row r="10" spans="1:13" ht="12.75">
      <c r="A10" s="298" t="s">
        <v>301</v>
      </c>
      <c r="B10" s="299"/>
      <c r="C10" s="299"/>
      <c r="D10" s="299"/>
      <c r="E10" s="299"/>
      <c r="F10" s="299"/>
      <c r="G10" s="299"/>
      <c r="H10" s="300"/>
      <c r="I10" s="301">
        <v>114</v>
      </c>
      <c r="J10" s="303">
        <f>J11+J12+J16+J20+J21+J22+J25+J26</f>
        <v>19923213</v>
      </c>
      <c r="K10" s="303">
        <f>K11+K12+K16+K20+K21+K22+K25+K26</f>
        <v>12719484</v>
      </c>
      <c r="L10" s="303">
        <f>L11+L12+L16+L20+L21+L22+L25+L26</f>
        <v>19482526</v>
      </c>
      <c r="M10" s="303">
        <f>M11+M12+M16+M20+M21+M22+M25+M26</f>
        <v>12368271</v>
      </c>
    </row>
    <row r="11" spans="1:13" ht="12.75">
      <c r="A11" s="298" t="s">
        <v>75</v>
      </c>
      <c r="B11" s="299"/>
      <c r="C11" s="299"/>
      <c r="D11" s="299"/>
      <c r="E11" s="299"/>
      <c r="F11" s="299"/>
      <c r="G11" s="299"/>
      <c r="H11" s="300"/>
      <c r="I11" s="301">
        <v>115</v>
      </c>
      <c r="J11" s="302"/>
      <c r="K11" s="302"/>
      <c r="L11" s="302"/>
      <c r="M11" s="302"/>
    </row>
    <row r="12" spans="1:13" ht="12.75">
      <c r="A12" s="298" t="s">
        <v>302</v>
      </c>
      <c r="B12" s="299"/>
      <c r="C12" s="299"/>
      <c r="D12" s="299"/>
      <c r="E12" s="299"/>
      <c r="F12" s="299"/>
      <c r="G12" s="299"/>
      <c r="H12" s="300"/>
      <c r="I12" s="301">
        <v>116</v>
      </c>
      <c r="J12" s="303">
        <f>SUM(J13:J15)</f>
        <v>5876230</v>
      </c>
      <c r="K12" s="303">
        <f>SUM(K13:K15)</f>
        <v>4798818</v>
      </c>
      <c r="L12" s="303">
        <f>SUM(L13:L15)</f>
        <v>6591829</v>
      </c>
      <c r="M12" s="303">
        <f>SUM(M13:M15)</f>
        <v>5344437</v>
      </c>
    </row>
    <row r="13" spans="1:13" ht="12.75">
      <c r="A13" s="304" t="s">
        <v>115</v>
      </c>
      <c r="B13" s="305"/>
      <c r="C13" s="305"/>
      <c r="D13" s="305"/>
      <c r="E13" s="305"/>
      <c r="F13" s="305"/>
      <c r="G13" s="305"/>
      <c r="H13" s="306"/>
      <c r="I13" s="301">
        <v>117</v>
      </c>
      <c r="J13" s="302">
        <v>2726068</v>
      </c>
      <c r="K13" s="302">
        <f>2726068-220539</f>
        <v>2505529</v>
      </c>
      <c r="L13" s="302">
        <v>2812240</v>
      </c>
      <c r="M13" s="302">
        <f>2812240-282556</f>
        <v>2529684</v>
      </c>
    </row>
    <row r="14" spans="1:13" ht="12.75">
      <c r="A14" s="304" t="s">
        <v>116</v>
      </c>
      <c r="B14" s="305"/>
      <c r="C14" s="305"/>
      <c r="D14" s="305"/>
      <c r="E14" s="305"/>
      <c r="F14" s="305"/>
      <c r="G14" s="305"/>
      <c r="H14" s="306"/>
      <c r="I14" s="301">
        <v>118</v>
      </c>
      <c r="J14" s="302">
        <v>27744</v>
      </c>
      <c r="K14" s="302">
        <v>27744</v>
      </c>
      <c r="L14" s="302">
        <v>25350</v>
      </c>
      <c r="M14" s="302">
        <v>25350</v>
      </c>
    </row>
    <row r="15" spans="1:13" ht="12.75">
      <c r="A15" s="304" t="s">
        <v>36</v>
      </c>
      <c r="B15" s="305"/>
      <c r="C15" s="305"/>
      <c r="D15" s="305"/>
      <c r="E15" s="305"/>
      <c r="F15" s="305"/>
      <c r="G15" s="305"/>
      <c r="H15" s="306"/>
      <c r="I15" s="301">
        <v>119</v>
      </c>
      <c r="J15" s="302">
        <f>1322279+1800139</f>
        <v>3122418</v>
      </c>
      <c r="K15" s="302">
        <f>3122418-856873</f>
        <v>2265545</v>
      </c>
      <c r="L15" s="302">
        <f>2006769+1747469+1</f>
        <v>3754239</v>
      </c>
      <c r="M15" s="302">
        <f>3754239-964836</f>
        <v>2789403</v>
      </c>
    </row>
    <row r="16" spans="1:13" ht="12.75">
      <c r="A16" s="298" t="s">
        <v>303</v>
      </c>
      <c r="B16" s="299"/>
      <c r="C16" s="299"/>
      <c r="D16" s="299"/>
      <c r="E16" s="299"/>
      <c r="F16" s="299"/>
      <c r="G16" s="299"/>
      <c r="H16" s="300"/>
      <c r="I16" s="301">
        <v>120</v>
      </c>
      <c r="J16" s="303">
        <f>SUM(J17:J19)</f>
        <v>11155634</v>
      </c>
      <c r="K16" s="303">
        <f>SUM(K17:K19)</f>
        <v>6344465</v>
      </c>
      <c r="L16" s="303">
        <f>SUM(L17:L19)</f>
        <v>10122820</v>
      </c>
      <c r="M16" s="303">
        <f>SUM(M17:M19)</f>
        <v>5656003</v>
      </c>
    </row>
    <row r="17" spans="1:13" ht="12.75">
      <c r="A17" s="304" t="s">
        <v>37</v>
      </c>
      <c r="B17" s="305"/>
      <c r="C17" s="305"/>
      <c r="D17" s="305"/>
      <c r="E17" s="305"/>
      <c r="F17" s="305"/>
      <c r="G17" s="305"/>
      <c r="H17" s="306"/>
      <c r="I17" s="301">
        <v>121</v>
      </c>
      <c r="J17" s="302">
        <f>6520549+103913</f>
        <v>6624462</v>
      </c>
      <c r="K17" s="302">
        <f>6624462-2895069</f>
        <v>3729393</v>
      </c>
      <c r="L17" s="302">
        <f>5940771+91500</f>
        <v>6032271</v>
      </c>
      <c r="M17" s="302">
        <f>6032271-2693789</f>
        <v>3338482</v>
      </c>
    </row>
    <row r="18" spans="1:13" ht="12.75">
      <c r="A18" s="304" t="s">
        <v>38</v>
      </c>
      <c r="B18" s="305"/>
      <c r="C18" s="305"/>
      <c r="D18" s="305"/>
      <c r="E18" s="305"/>
      <c r="F18" s="305"/>
      <c r="G18" s="305"/>
      <c r="H18" s="306"/>
      <c r="I18" s="301">
        <v>122</v>
      </c>
      <c r="J18" s="302">
        <v>3056241</v>
      </c>
      <c r="K18" s="302">
        <f>3056241-1277864</f>
        <v>1778377</v>
      </c>
      <c r="L18" s="302">
        <v>2678484</v>
      </c>
      <c r="M18" s="302">
        <f>2678484-1180293</f>
        <v>1498191</v>
      </c>
    </row>
    <row r="19" spans="1:13" ht="12.75">
      <c r="A19" s="304" t="s">
        <v>39</v>
      </c>
      <c r="B19" s="305"/>
      <c r="C19" s="305"/>
      <c r="D19" s="305"/>
      <c r="E19" s="305"/>
      <c r="F19" s="305"/>
      <c r="G19" s="305"/>
      <c r="H19" s="306"/>
      <c r="I19" s="301">
        <v>123</v>
      </c>
      <c r="J19" s="302">
        <v>1474931</v>
      </c>
      <c r="K19" s="302">
        <f>1474931-638236</f>
        <v>836695</v>
      </c>
      <c r="L19" s="302">
        <v>1412065</v>
      </c>
      <c r="M19" s="302">
        <f>1412065-592735</f>
        <v>819330</v>
      </c>
    </row>
    <row r="20" spans="1:13" ht="12.75">
      <c r="A20" s="298" t="s">
        <v>76</v>
      </c>
      <c r="B20" s="299"/>
      <c r="C20" s="299"/>
      <c r="D20" s="299"/>
      <c r="E20" s="299"/>
      <c r="F20" s="299"/>
      <c r="G20" s="299"/>
      <c r="H20" s="300"/>
      <c r="I20" s="301">
        <v>124</v>
      </c>
      <c r="J20" s="302">
        <v>1929178</v>
      </c>
      <c r="K20" s="302">
        <f>1929178-964607</f>
        <v>964571</v>
      </c>
      <c r="L20" s="302">
        <v>1915270</v>
      </c>
      <c r="M20" s="302">
        <f>1915270-939859</f>
        <v>975411</v>
      </c>
    </row>
    <row r="21" spans="1:13" ht="12.75">
      <c r="A21" s="298" t="s">
        <v>77</v>
      </c>
      <c r="B21" s="299"/>
      <c r="C21" s="299"/>
      <c r="D21" s="299"/>
      <c r="E21" s="299"/>
      <c r="F21" s="299"/>
      <c r="G21" s="299"/>
      <c r="H21" s="300"/>
      <c r="I21" s="301">
        <v>125</v>
      </c>
      <c r="J21" s="302">
        <f>726720+229161</f>
        <v>955881</v>
      </c>
      <c r="K21" s="302">
        <f>955881-349216</f>
        <v>606665</v>
      </c>
      <c r="L21" s="302">
        <f>561331+239349</f>
        <v>800680</v>
      </c>
      <c r="M21" s="302">
        <f>800680-457824</f>
        <v>342856</v>
      </c>
    </row>
    <row r="22" spans="1:13" ht="12.75">
      <c r="A22" s="298" t="s">
        <v>304</v>
      </c>
      <c r="B22" s="299"/>
      <c r="C22" s="299"/>
      <c r="D22" s="299"/>
      <c r="E22" s="299"/>
      <c r="F22" s="299"/>
      <c r="G22" s="299"/>
      <c r="H22" s="300"/>
      <c r="I22" s="301">
        <v>126</v>
      </c>
      <c r="J22" s="303">
        <f>SUM(J23:J24)</f>
        <v>0</v>
      </c>
      <c r="K22" s="303">
        <f>SUM(K23:K24)</f>
        <v>0</v>
      </c>
      <c r="L22" s="303">
        <f>SUM(L23:L24)</f>
        <v>0</v>
      </c>
      <c r="M22" s="303">
        <f>SUM(M23:M24)</f>
        <v>0</v>
      </c>
    </row>
    <row r="23" spans="1:13" ht="12.75">
      <c r="A23" s="304" t="s">
        <v>106</v>
      </c>
      <c r="B23" s="305"/>
      <c r="C23" s="305"/>
      <c r="D23" s="305"/>
      <c r="E23" s="305"/>
      <c r="F23" s="305"/>
      <c r="G23" s="305"/>
      <c r="H23" s="306"/>
      <c r="I23" s="301">
        <v>127</v>
      </c>
      <c r="J23" s="302"/>
      <c r="K23" s="302"/>
      <c r="L23" s="302"/>
      <c r="M23" s="302"/>
    </row>
    <row r="24" spans="1:13" ht="12.75">
      <c r="A24" s="304" t="s">
        <v>107</v>
      </c>
      <c r="B24" s="305"/>
      <c r="C24" s="305"/>
      <c r="D24" s="305"/>
      <c r="E24" s="305"/>
      <c r="F24" s="305"/>
      <c r="G24" s="305"/>
      <c r="H24" s="306"/>
      <c r="I24" s="301">
        <v>128</v>
      </c>
      <c r="J24" s="302"/>
      <c r="K24" s="302"/>
      <c r="L24" s="302"/>
      <c r="M24" s="302"/>
    </row>
    <row r="25" spans="1:13" ht="12.75">
      <c r="A25" s="298" t="s">
        <v>78</v>
      </c>
      <c r="B25" s="299"/>
      <c r="C25" s="299"/>
      <c r="D25" s="299"/>
      <c r="E25" s="299"/>
      <c r="F25" s="299"/>
      <c r="G25" s="299"/>
      <c r="H25" s="300"/>
      <c r="I25" s="301">
        <v>129</v>
      </c>
      <c r="J25" s="302"/>
      <c r="K25" s="302"/>
      <c r="L25" s="302"/>
      <c r="M25" s="302"/>
    </row>
    <row r="26" spans="1:13" ht="12.75">
      <c r="A26" s="298" t="s">
        <v>30</v>
      </c>
      <c r="B26" s="299"/>
      <c r="C26" s="299"/>
      <c r="D26" s="299"/>
      <c r="E26" s="299"/>
      <c r="F26" s="299"/>
      <c r="G26" s="299"/>
      <c r="H26" s="300"/>
      <c r="I26" s="301">
        <v>130</v>
      </c>
      <c r="J26" s="302">
        <v>6290</v>
      </c>
      <c r="K26" s="302">
        <f>6290-1325</f>
        <v>4965</v>
      </c>
      <c r="L26" s="302">
        <v>51927</v>
      </c>
      <c r="M26" s="302">
        <f>51927-2363</f>
        <v>49564</v>
      </c>
    </row>
    <row r="27" spans="1:13" ht="12.75">
      <c r="A27" s="298" t="s">
        <v>305</v>
      </c>
      <c r="B27" s="299"/>
      <c r="C27" s="299"/>
      <c r="D27" s="299"/>
      <c r="E27" s="299"/>
      <c r="F27" s="299"/>
      <c r="G27" s="299"/>
      <c r="H27" s="300"/>
      <c r="I27" s="301">
        <v>131</v>
      </c>
      <c r="J27" s="303">
        <f>SUM(J28:J32)</f>
        <v>938589</v>
      </c>
      <c r="K27" s="303">
        <f>SUM(K28:K32)</f>
        <v>926474</v>
      </c>
      <c r="L27" s="303">
        <f>SUM(L28:L32)</f>
        <v>949072</v>
      </c>
      <c r="M27" s="303">
        <f>SUM(M28:M32)</f>
        <v>939760</v>
      </c>
    </row>
    <row r="28" spans="1:13" ht="12.75">
      <c r="A28" s="298" t="s">
        <v>179</v>
      </c>
      <c r="B28" s="299"/>
      <c r="C28" s="299"/>
      <c r="D28" s="299"/>
      <c r="E28" s="299"/>
      <c r="F28" s="299"/>
      <c r="G28" s="299"/>
      <c r="H28" s="300"/>
      <c r="I28" s="301">
        <v>132</v>
      </c>
      <c r="J28" s="302"/>
      <c r="K28" s="302"/>
      <c r="L28" s="302"/>
      <c r="M28" s="302"/>
    </row>
    <row r="29" spans="1:13" ht="12.75">
      <c r="A29" s="298" t="s">
        <v>122</v>
      </c>
      <c r="B29" s="299"/>
      <c r="C29" s="299"/>
      <c r="D29" s="299"/>
      <c r="E29" s="299"/>
      <c r="F29" s="299"/>
      <c r="G29" s="299"/>
      <c r="H29" s="300"/>
      <c r="I29" s="301">
        <v>133</v>
      </c>
      <c r="J29" s="302">
        <v>938589</v>
      </c>
      <c r="K29" s="302">
        <f>938589-12115</f>
        <v>926474</v>
      </c>
      <c r="L29" s="302">
        <v>949072</v>
      </c>
      <c r="M29" s="302">
        <f>949072-9312</f>
        <v>939760</v>
      </c>
    </row>
    <row r="30" spans="1:13" ht="12.75">
      <c r="A30" s="298" t="s">
        <v>108</v>
      </c>
      <c r="B30" s="299"/>
      <c r="C30" s="299"/>
      <c r="D30" s="299"/>
      <c r="E30" s="299"/>
      <c r="F30" s="299"/>
      <c r="G30" s="299"/>
      <c r="H30" s="300"/>
      <c r="I30" s="301">
        <v>134</v>
      </c>
      <c r="J30" s="302"/>
      <c r="K30" s="302"/>
      <c r="L30" s="302"/>
      <c r="M30" s="302"/>
    </row>
    <row r="31" spans="1:13" ht="12.75">
      <c r="A31" s="298" t="s">
        <v>175</v>
      </c>
      <c r="B31" s="299"/>
      <c r="C31" s="299"/>
      <c r="D31" s="299"/>
      <c r="E31" s="299"/>
      <c r="F31" s="299"/>
      <c r="G31" s="299"/>
      <c r="H31" s="300"/>
      <c r="I31" s="301">
        <v>135</v>
      </c>
      <c r="J31" s="302"/>
      <c r="K31" s="302"/>
      <c r="L31" s="302"/>
      <c r="M31" s="302"/>
    </row>
    <row r="32" spans="1:13" ht="12.75">
      <c r="A32" s="298" t="s">
        <v>109</v>
      </c>
      <c r="B32" s="299"/>
      <c r="C32" s="299"/>
      <c r="D32" s="299"/>
      <c r="E32" s="299"/>
      <c r="F32" s="299"/>
      <c r="G32" s="299"/>
      <c r="H32" s="300"/>
      <c r="I32" s="301">
        <v>136</v>
      </c>
      <c r="J32" s="302"/>
      <c r="K32" s="302"/>
      <c r="L32" s="302"/>
      <c r="M32" s="302"/>
    </row>
    <row r="33" spans="1:13" ht="12.75">
      <c r="A33" s="298" t="s">
        <v>306</v>
      </c>
      <c r="B33" s="299"/>
      <c r="C33" s="299"/>
      <c r="D33" s="299"/>
      <c r="E33" s="299"/>
      <c r="F33" s="299"/>
      <c r="G33" s="299"/>
      <c r="H33" s="300"/>
      <c r="I33" s="301">
        <v>137</v>
      </c>
      <c r="J33" s="303">
        <f>SUM(J34:J37)</f>
        <v>1943453</v>
      </c>
      <c r="K33" s="303">
        <f>SUM(K34:K37)</f>
        <v>541772</v>
      </c>
      <c r="L33" s="303">
        <f>SUM(L34:L37)</f>
        <v>2173375</v>
      </c>
      <c r="M33" s="303">
        <f>SUM(M34:M37)</f>
        <v>1001175</v>
      </c>
    </row>
    <row r="34" spans="1:13" ht="12.75">
      <c r="A34" s="298" t="s">
        <v>41</v>
      </c>
      <c r="B34" s="299"/>
      <c r="C34" s="299"/>
      <c r="D34" s="299"/>
      <c r="E34" s="299"/>
      <c r="F34" s="299"/>
      <c r="G34" s="299"/>
      <c r="H34" s="300"/>
      <c r="I34" s="301">
        <v>138</v>
      </c>
      <c r="J34" s="302">
        <v>1213850</v>
      </c>
      <c r="K34" s="302">
        <v>367031</v>
      </c>
      <c r="L34" s="302">
        <v>1402328</v>
      </c>
      <c r="M34" s="302">
        <f>1402328-742392</f>
        <v>659936</v>
      </c>
    </row>
    <row r="35" spans="1:13" ht="12.75">
      <c r="A35" s="298" t="s">
        <v>40</v>
      </c>
      <c r="B35" s="299"/>
      <c r="C35" s="299"/>
      <c r="D35" s="299"/>
      <c r="E35" s="299"/>
      <c r="F35" s="299"/>
      <c r="G35" s="299"/>
      <c r="H35" s="300"/>
      <c r="I35" s="301">
        <v>139</v>
      </c>
      <c r="J35" s="302">
        <v>726007</v>
      </c>
      <c r="K35" s="302">
        <v>172212</v>
      </c>
      <c r="L35" s="302">
        <v>712589</v>
      </c>
      <c r="M35" s="302">
        <f>712589-378765</f>
        <v>333824</v>
      </c>
    </row>
    <row r="36" spans="1:13" ht="12.75">
      <c r="A36" s="298" t="s">
        <v>176</v>
      </c>
      <c r="B36" s="299"/>
      <c r="C36" s="299"/>
      <c r="D36" s="299"/>
      <c r="E36" s="299"/>
      <c r="F36" s="299"/>
      <c r="G36" s="299"/>
      <c r="H36" s="300"/>
      <c r="I36" s="301">
        <v>140</v>
      </c>
      <c r="J36" s="302"/>
      <c r="K36" s="302"/>
      <c r="L36" s="302"/>
      <c r="M36" s="302"/>
    </row>
    <row r="37" spans="1:13" ht="12.75">
      <c r="A37" s="298" t="s">
        <v>42</v>
      </c>
      <c r="B37" s="299"/>
      <c r="C37" s="299"/>
      <c r="D37" s="299"/>
      <c r="E37" s="299"/>
      <c r="F37" s="299"/>
      <c r="G37" s="299"/>
      <c r="H37" s="300"/>
      <c r="I37" s="301">
        <v>141</v>
      </c>
      <c r="J37" s="302">
        <v>3596</v>
      </c>
      <c r="K37" s="302">
        <f>3596-1067</f>
        <v>2529</v>
      </c>
      <c r="L37" s="302">
        <v>58458</v>
      </c>
      <c r="M37" s="302">
        <f>58458-51043</f>
        <v>7415</v>
      </c>
    </row>
    <row r="38" spans="1:13" ht="12.75">
      <c r="A38" s="298" t="s">
        <v>152</v>
      </c>
      <c r="B38" s="299"/>
      <c r="C38" s="299"/>
      <c r="D38" s="299"/>
      <c r="E38" s="299"/>
      <c r="F38" s="299"/>
      <c r="G38" s="299"/>
      <c r="H38" s="300"/>
      <c r="I38" s="301">
        <v>142</v>
      </c>
      <c r="J38" s="302"/>
      <c r="K38" s="302"/>
      <c r="L38" s="302"/>
      <c r="M38" s="302"/>
    </row>
    <row r="39" spans="1:13" ht="12.75">
      <c r="A39" s="298" t="s">
        <v>153</v>
      </c>
      <c r="B39" s="299"/>
      <c r="C39" s="299"/>
      <c r="D39" s="299"/>
      <c r="E39" s="299"/>
      <c r="F39" s="299"/>
      <c r="G39" s="299"/>
      <c r="H39" s="300"/>
      <c r="I39" s="301">
        <v>143</v>
      </c>
      <c r="J39" s="302"/>
      <c r="K39" s="302"/>
      <c r="L39" s="302"/>
      <c r="M39" s="302"/>
    </row>
    <row r="40" spans="1:13" ht="12.75">
      <c r="A40" s="298" t="s">
        <v>177</v>
      </c>
      <c r="B40" s="299"/>
      <c r="C40" s="299"/>
      <c r="D40" s="299"/>
      <c r="E40" s="299"/>
      <c r="F40" s="299"/>
      <c r="G40" s="299"/>
      <c r="H40" s="300"/>
      <c r="I40" s="301">
        <v>144</v>
      </c>
      <c r="J40" s="302"/>
      <c r="K40" s="302"/>
      <c r="L40" s="302"/>
      <c r="M40" s="302"/>
    </row>
    <row r="41" spans="1:13" ht="12.75">
      <c r="A41" s="298" t="s">
        <v>178</v>
      </c>
      <c r="B41" s="299"/>
      <c r="C41" s="299"/>
      <c r="D41" s="299"/>
      <c r="E41" s="299"/>
      <c r="F41" s="299"/>
      <c r="G41" s="299"/>
      <c r="H41" s="300"/>
      <c r="I41" s="301">
        <v>145</v>
      </c>
      <c r="J41" s="302"/>
      <c r="K41" s="302"/>
      <c r="L41" s="302"/>
      <c r="M41" s="302"/>
    </row>
    <row r="42" spans="1:13" ht="12.75">
      <c r="A42" s="298" t="s">
        <v>307</v>
      </c>
      <c r="B42" s="299"/>
      <c r="C42" s="299"/>
      <c r="D42" s="299"/>
      <c r="E42" s="299"/>
      <c r="F42" s="299"/>
      <c r="G42" s="299"/>
      <c r="H42" s="300"/>
      <c r="I42" s="301">
        <v>146</v>
      </c>
      <c r="J42" s="303">
        <f>J7+J27+J38+J40</f>
        <v>15605934</v>
      </c>
      <c r="K42" s="303">
        <f>K7+K27+K38+K40</f>
        <v>15422483</v>
      </c>
      <c r="L42" s="303">
        <f>L7+L27+L38+L40</f>
        <v>15432841</v>
      </c>
      <c r="M42" s="303">
        <f>M7+M27+M38+M40</f>
        <v>15296717</v>
      </c>
    </row>
    <row r="43" spans="1:13" ht="12.75">
      <c r="A43" s="298" t="s">
        <v>308</v>
      </c>
      <c r="B43" s="299"/>
      <c r="C43" s="299"/>
      <c r="D43" s="299"/>
      <c r="E43" s="299"/>
      <c r="F43" s="299"/>
      <c r="G43" s="299"/>
      <c r="H43" s="300"/>
      <c r="I43" s="301">
        <v>147</v>
      </c>
      <c r="J43" s="303">
        <f>J10+J33+J39+J41</f>
        <v>21866666</v>
      </c>
      <c r="K43" s="303">
        <f>K10+K33+K39+K41</f>
        <v>13261256</v>
      </c>
      <c r="L43" s="303">
        <f>L10+L33+L39+L41</f>
        <v>21655901</v>
      </c>
      <c r="M43" s="303">
        <f>M10+M33+M39+M41</f>
        <v>13369446</v>
      </c>
    </row>
    <row r="44" spans="1:13" ht="12.75">
      <c r="A44" s="298" t="s">
        <v>309</v>
      </c>
      <c r="B44" s="299"/>
      <c r="C44" s="299"/>
      <c r="D44" s="299"/>
      <c r="E44" s="299"/>
      <c r="F44" s="299"/>
      <c r="G44" s="299"/>
      <c r="H44" s="300"/>
      <c r="I44" s="301">
        <v>148</v>
      </c>
      <c r="J44" s="303">
        <f>J42-J43</f>
        <v>-6260732</v>
      </c>
      <c r="K44" s="303">
        <f>K42-K43</f>
        <v>2161227</v>
      </c>
      <c r="L44" s="303">
        <f>L42-L43</f>
        <v>-6223060</v>
      </c>
      <c r="M44" s="303">
        <f>M42-M43</f>
        <v>1927271</v>
      </c>
    </row>
    <row r="45" spans="1:13" ht="12.75">
      <c r="A45" s="307" t="s">
        <v>171</v>
      </c>
      <c r="B45" s="308"/>
      <c r="C45" s="308"/>
      <c r="D45" s="308"/>
      <c r="E45" s="308"/>
      <c r="F45" s="308"/>
      <c r="G45" s="308"/>
      <c r="H45" s="309"/>
      <c r="I45" s="301">
        <v>149</v>
      </c>
      <c r="J45" s="303">
        <f>IF(J42&gt;J43,J42-J43,0)</f>
        <v>0</v>
      </c>
      <c r="K45" s="303">
        <f>IF(K42&gt;K43,K42-K43,0)</f>
        <v>2161227</v>
      </c>
      <c r="L45" s="303">
        <f>IF(L42&gt;L43,L42-L43,0)</f>
        <v>0</v>
      </c>
      <c r="M45" s="303">
        <f>IF(M42&gt;M43,M42-M43,0)</f>
        <v>1927271</v>
      </c>
    </row>
    <row r="46" spans="1:13" ht="12.75">
      <c r="A46" s="307" t="s">
        <v>172</v>
      </c>
      <c r="B46" s="308"/>
      <c r="C46" s="308"/>
      <c r="D46" s="308"/>
      <c r="E46" s="308"/>
      <c r="F46" s="308"/>
      <c r="G46" s="308"/>
      <c r="H46" s="309"/>
      <c r="I46" s="301">
        <v>150</v>
      </c>
      <c r="J46" s="303">
        <f>IF(J43&gt;J42,J43-J42,0)</f>
        <v>6260732</v>
      </c>
      <c r="K46" s="303">
        <f>IF(K43&gt;K42,K43-K42,0)</f>
        <v>0</v>
      </c>
      <c r="L46" s="303">
        <f>IF(L43&gt;L42,L43-L42,0)</f>
        <v>6223060</v>
      </c>
      <c r="M46" s="303">
        <f>IF(M43&gt;M42,M43-M42,0)</f>
        <v>0</v>
      </c>
    </row>
    <row r="47" spans="1:13" ht="12.75">
      <c r="A47" s="298" t="s">
        <v>170</v>
      </c>
      <c r="B47" s="299"/>
      <c r="C47" s="299"/>
      <c r="D47" s="299"/>
      <c r="E47" s="299"/>
      <c r="F47" s="299"/>
      <c r="G47" s="299"/>
      <c r="H47" s="300"/>
      <c r="I47" s="301">
        <v>151</v>
      </c>
      <c r="J47" s="302"/>
      <c r="K47" s="302"/>
      <c r="L47" s="302"/>
      <c r="M47" s="302"/>
    </row>
    <row r="48" spans="1:13" ht="12.75">
      <c r="A48" s="298" t="s">
        <v>310</v>
      </c>
      <c r="B48" s="299"/>
      <c r="C48" s="299"/>
      <c r="D48" s="299"/>
      <c r="E48" s="299"/>
      <c r="F48" s="299"/>
      <c r="G48" s="299"/>
      <c r="H48" s="300"/>
      <c r="I48" s="301">
        <v>152</v>
      </c>
      <c r="J48" s="303">
        <f>J44-J47</f>
        <v>-6260732</v>
      </c>
      <c r="K48" s="303">
        <f>K44-K47</f>
        <v>2161227</v>
      </c>
      <c r="L48" s="303">
        <f>L44-L47</f>
        <v>-6223060</v>
      </c>
      <c r="M48" s="303">
        <f>M44-M47</f>
        <v>1927271</v>
      </c>
    </row>
    <row r="49" spans="1:13" ht="12.75">
      <c r="A49" s="307" t="s">
        <v>150</v>
      </c>
      <c r="B49" s="308"/>
      <c r="C49" s="308"/>
      <c r="D49" s="308"/>
      <c r="E49" s="308"/>
      <c r="F49" s="308"/>
      <c r="G49" s="308"/>
      <c r="H49" s="309"/>
      <c r="I49" s="301">
        <v>153</v>
      </c>
      <c r="J49" s="303">
        <f>IF(J48&gt;0,J48,0)</f>
        <v>0</v>
      </c>
      <c r="K49" s="303">
        <f>IF(K48&gt;0,K48,0)</f>
        <v>2161227</v>
      </c>
      <c r="L49" s="303">
        <f>IF(L48&gt;0,L48,0)</f>
        <v>0</v>
      </c>
      <c r="M49" s="303">
        <f>IF(M48&gt;0,M48,0)</f>
        <v>1927271</v>
      </c>
    </row>
    <row r="50" spans="1:13" ht="12.75">
      <c r="A50" s="310" t="s">
        <v>173</v>
      </c>
      <c r="B50" s="311"/>
      <c r="C50" s="311"/>
      <c r="D50" s="311"/>
      <c r="E50" s="311"/>
      <c r="F50" s="311"/>
      <c r="G50" s="311"/>
      <c r="H50" s="312"/>
      <c r="I50" s="313">
        <v>154</v>
      </c>
      <c r="J50" s="314">
        <f>IF(J48&lt;0,-J48,0)</f>
        <v>6260732</v>
      </c>
      <c r="K50" s="314">
        <f>IF(K48&lt;0,-K48,0)</f>
        <v>0</v>
      </c>
      <c r="L50" s="314">
        <f>IF(L48&lt;0,-L48,0)</f>
        <v>6223060</v>
      </c>
      <c r="M50" s="314">
        <f>IF(M48&lt;0,-M48,0)</f>
        <v>0</v>
      </c>
    </row>
    <row r="51" spans="1:13" ht="12.75" customHeight="1">
      <c r="A51" s="315" t="s">
        <v>262</v>
      </c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</row>
    <row r="52" spans="1:13" ht="12.75" customHeight="1">
      <c r="A52" s="293" t="s">
        <v>145</v>
      </c>
      <c r="B52" s="294"/>
      <c r="C52" s="294"/>
      <c r="D52" s="294"/>
      <c r="E52" s="294"/>
      <c r="F52" s="294"/>
      <c r="G52" s="294"/>
      <c r="H52" s="294"/>
      <c r="I52" s="54"/>
      <c r="J52" s="54"/>
      <c r="K52" s="54"/>
      <c r="L52" s="54"/>
      <c r="M52" s="317"/>
    </row>
    <row r="53" spans="1:13" ht="12.75">
      <c r="A53" s="318" t="s">
        <v>186</v>
      </c>
      <c r="B53" s="319"/>
      <c r="C53" s="319"/>
      <c r="D53" s="319"/>
      <c r="E53" s="319"/>
      <c r="F53" s="319"/>
      <c r="G53" s="319"/>
      <c r="H53" s="320"/>
      <c r="I53" s="301">
        <v>155</v>
      </c>
      <c r="J53" s="302"/>
      <c r="K53" s="302"/>
      <c r="L53" s="302"/>
      <c r="M53" s="302"/>
    </row>
    <row r="54" spans="1:13" ht="12.75">
      <c r="A54" s="318" t="s">
        <v>187</v>
      </c>
      <c r="B54" s="319"/>
      <c r="C54" s="319"/>
      <c r="D54" s="319"/>
      <c r="E54" s="319"/>
      <c r="F54" s="319"/>
      <c r="G54" s="319"/>
      <c r="H54" s="320"/>
      <c r="I54" s="301">
        <v>156</v>
      </c>
      <c r="J54" s="321"/>
      <c r="K54" s="321"/>
      <c r="L54" s="321"/>
      <c r="M54" s="321"/>
    </row>
    <row r="55" spans="1:13" ht="12.75" customHeight="1">
      <c r="A55" s="315" t="s">
        <v>147</v>
      </c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</row>
    <row r="56" spans="1:13" ht="12.75">
      <c r="A56" s="293" t="s">
        <v>161</v>
      </c>
      <c r="B56" s="294"/>
      <c r="C56" s="294"/>
      <c r="D56" s="294"/>
      <c r="E56" s="294"/>
      <c r="F56" s="294"/>
      <c r="G56" s="294"/>
      <c r="H56" s="295"/>
      <c r="I56" s="322">
        <v>157</v>
      </c>
      <c r="J56" s="323">
        <f>+J48</f>
        <v>-6260732</v>
      </c>
      <c r="K56" s="323">
        <f>+K48</f>
        <v>2161227</v>
      </c>
      <c r="L56" s="323">
        <f>+L48</f>
        <v>-6223060</v>
      </c>
      <c r="M56" s="323">
        <f>+M48</f>
        <v>1927271</v>
      </c>
    </row>
    <row r="57" spans="1:13" ht="12.75">
      <c r="A57" s="298" t="s">
        <v>311</v>
      </c>
      <c r="B57" s="299"/>
      <c r="C57" s="299"/>
      <c r="D57" s="299"/>
      <c r="E57" s="299"/>
      <c r="F57" s="299"/>
      <c r="G57" s="299"/>
      <c r="H57" s="300"/>
      <c r="I57" s="301">
        <v>158</v>
      </c>
      <c r="J57" s="303">
        <f>SUM(J58:J64)</f>
        <v>0</v>
      </c>
      <c r="K57" s="303">
        <f>SUM(K58:K64)</f>
        <v>0</v>
      </c>
      <c r="L57" s="303">
        <f>SUM(L58:L64)</f>
        <v>0</v>
      </c>
      <c r="M57" s="303">
        <f>SUM(M58:M64)</f>
        <v>0</v>
      </c>
    </row>
    <row r="58" spans="1:13" ht="12.75">
      <c r="A58" s="298" t="s">
        <v>180</v>
      </c>
      <c r="B58" s="299"/>
      <c r="C58" s="299"/>
      <c r="D58" s="299"/>
      <c r="E58" s="299"/>
      <c r="F58" s="299"/>
      <c r="G58" s="299"/>
      <c r="H58" s="300"/>
      <c r="I58" s="301">
        <v>159</v>
      </c>
      <c r="J58" s="302"/>
      <c r="K58" s="302"/>
      <c r="L58" s="302"/>
      <c r="M58" s="302"/>
    </row>
    <row r="59" spans="1:13" ht="12.75">
      <c r="A59" s="298" t="s">
        <v>181</v>
      </c>
      <c r="B59" s="299"/>
      <c r="C59" s="299"/>
      <c r="D59" s="299"/>
      <c r="E59" s="299"/>
      <c r="F59" s="299"/>
      <c r="G59" s="299"/>
      <c r="H59" s="300"/>
      <c r="I59" s="301">
        <v>160</v>
      </c>
      <c r="J59" s="302"/>
      <c r="K59" s="302"/>
      <c r="L59" s="302"/>
      <c r="M59" s="302"/>
    </row>
    <row r="60" spans="1:13" ht="12.75">
      <c r="A60" s="298" t="s">
        <v>25</v>
      </c>
      <c r="B60" s="299"/>
      <c r="C60" s="299"/>
      <c r="D60" s="299"/>
      <c r="E60" s="299"/>
      <c r="F60" s="299"/>
      <c r="G60" s="299"/>
      <c r="H60" s="300"/>
      <c r="I60" s="301">
        <v>161</v>
      </c>
      <c r="J60" s="302"/>
      <c r="K60" s="302"/>
      <c r="L60" s="302"/>
      <c r="M60" s="302"/>
    </row>
    <row r="61" spans="1:13" ht="12.75">
      <c r="A61" s="298" t="s">
        <v>182</v>
      </c>
      <c r="B61" s="299"/>
      <c r="C61" s="299"/>
      <c r="D61" s="299"/>
      <c r="E61" s="299"/>
      <c r="F61" s="299"/>
      <c r="G61" s="299"/>
      <c r="H61" s="300"/>
      <c r="I61" s="301">
        <v>162</v>
      </c>
      <c r="J61" s="302"/>
      <c r="K61" s="302"/>
      <c r="L61" s="302"/>
      <c r="M61" s="302"/>
    </row>
    <row r="62" spans="1:13" ht="12.75">
      <c r="A62" s="298" t="s">
        <v>183</v>
      </c>
      <c r="B62" s="299"/>
      <c r="C62" s="299"/>
      <c r="D62" s="299"/>
      <c r="E62" s="299"/>
      <c r="F62" s="299"/>
      <c r="G62" s="299"/>
      <c r="H62" s="300"/>
      <c r="I62" s="301">
        <v>163</v>
      </c>
      <c r="J62" s="302"/>
      <c r="K62" s="302"/>
      <c r="L62" s="302"/>
      <c r="M62" s="302"/>
    </row>
    <row r="63" spans="1:13" ht="12.75">
      <c r="A63" s="298" t="s">
        <v>184</v>
      </c>
      <c r="B63" s="299"/>
      <c r="C63" s="299"/>
      <c r="D63" s="299"/>
      <c r="E63" s="299"/>
      <c r="F63" s="299"/>
      <c r="G63" s="299"/>
      <c r="H63" s="300"/>
      <c r="I63" s="301">
        <v>164</v>
      </c>
      <c r="J63" s="302"/>
      <c r="K63" s="302"/>
      <c r="L63" s="302"/>
      <c r="M63" s="302"/>
    </row>
    <row r="64" spans="1:13" ht="12.75">
      <c r="A64" s="298" t="s">
        <v>185</v>
      </c>
      <c r="B64" s="299"/>
      <c r="C64" s="299"/>
      <c r="D64" s="299"/>
      <c r="E64" s="299"/>
      <c r="F64" s="299"/>
      <c r="G64" s="299"/>
      <c r="H64" s="300"/>
      <c r="I64" s="301">
        <v>165</v>
      </c>
      <c r="J64" s="302"/>
      <c r="K64" s="302"/>
      <c r="L64" s="302"/>
      <c r="M64" s="302"/>
    </row>
    <row r="65" spans="1:13" ht="12.75">
      <c r="A65" s="298" t="s">
        <v>174</v>
      </c>
      <c r="B65" s="299"/>
      <c r="C65" s="299"/>
      <c r="D65" s="299"/>
      <c r="E65" s="299"/>
      <c r="F65" s="299"/>
      <c r="G65" s="299"/>
      <c r="H65" s="300"/>
      <c r="I65" s="301">
        <v>166</v>
      </c>
      <c r="J65" s="302"/>
      <c r="K65" s="302"/>
      <c r="L65" s="302"/>
      <c r="M65" s="302"/>
    </row>
    <row r="66" spans="1:13" ht="12.75">
      <c r="A66" s="298" t="s">
        <v>312</v>
      </c>
      <c r="B66" s="299"/>
      <c r="C66" s="299"/>
      <c r="D66" s="299"/>
      <c r="E66" s="299"/>
      <c r="F66" s="299"/>
      <c r="G66" s="299"/>
      <c r="H66" s="300"/>
      <c r="I66" s="301">
        <v>167</v>
      </c>
      <c r="J66" s="303">
        <f>J57-J65</f>
        <v>0</v>
      </c>
      <c r="K66" s="303">
        <f>K57-K65</f>
        <v>0</v>
      </c>
      <c r="L66" s="303">
        <f>L57-L65</f>
        <v>0</v>
      </c>
      <c r="M66" s="303">
        <f>M57-M65</f>
        <v>0</v>
      </c>
    </row>
    <row r="67" spans="1:13" ht="12.75">
      <c r="A67" s="298" t="s">
        <v>151</v>
      </c>
      <c r="B67" s="299"/>
      <c r="C67" s="299"/>
      <c r="D67" s="299"/>
      <c r="E67" s="299"/>
      <c r="F67" s="299"/>
      <c r="G67" s="299"/>
      <c r="H67" s="300"/>
      <c r="I67" s="301">
        <v>168</v>
      </c>
      <c r="J67" s="314">
        <f>J56+J66</f>
        <v>-6260732</v>
      </c>
      <c r="K67" s="314">
        <f>K56+K66</f>
        <v>2161227</v>
      </c>
      <c r="L67" s="314">
        <f>L56+L66</f>
        <v>-6223060</v>
      </c>
      <c r="M67" s="314">
        <f>M56+M66</f>
        <v>1927271</v>
      </c>
    </row>
    <row r="68" spans="1:13" ht="12.75" customHeight="1">
      <c r="A68" s="324" t="s">
        <v>263</v>
      </c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</row>
    <row r="69" spans="1:13" ht="12.75" customHeight="1">
      <c r="A69" s="326" t="s">
        <v>146</v>
      </c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</row>
    <row r="70" spans="1:13" ht="12.75">
      <c r="A70" s="318" t="s">
        <v>186</v>
      </c>
      <c r="B70" s="319"/>
      <c r="C70" s="319"/>
      <c r="D70" s="319"/>
      <c r="E70" s="319"/>
      <c r="F70" s="319"/>
      <c r="G70" s="319"/>
      <c r="H70" s="320"/>
      <c r="I70" s="301">
        <v>169</v>
      </c>
      <c r="J70" s="302"/>
      <c r="K70" s="302"/>
      <c r="L70" s="302"/>
      <c r="M70" s="302"/>
    </row>
    <row r="71" spans="1:13" ht="12.75">
      <c r="A71" s="328" t="s">
        <v>187</v>
      </c>
      <c r="B71" s="329"/>
      <c r="C71" s="329"/>
      <c r="D71" s="329"/>
      <c r="E71" s="329"/>
      <c r="F71" s="329"/>
      <c r="G71" s="329"/>
      <c r="H71" s="330"/>
      <c r="I71" s="331">
        <v>170</v>
      </c>
      <c r="J71" s="321"/>
      <c r="K71" s="321"/>
      <c r="L71" s="321"/>
      <c r="M71" s="321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showGridLines="0" view="pageBreakPreview" zoomScale="110" zoomScaleSheetLayoutView="110" zoomScalePageLayoutView="0" workbookViewId="0" topLeftCell="A1">
      <selection activeCell="A12" sqref="A12:H12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6" t="s">
        <v>154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291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5" t="s">
        <v>288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56.25">
      <c r="A4" s="258" t="s">
        <v>34</v>
      </c>
      <c r="B4" s="258"/>
      <c r="C4" s="258"/>
      <c r="D4" s="258"/>
      <c r="E4" s="258"/>
      <c r="F4" s="258"/>
      <c r="G4" s="258"/>
      <c r="H4" s="258"/>
      <c r="I4" s="63" t="s">
        <v>229</v>
      </c>
      <c r="J4" s="64" t="s">
        <v>292</v>
      </c>
      <c r="K4" s="64" t="s">
        <v>295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7">
        <v>2</v>
      </c>
      <c r="J5" s="68" t="s">
        <v>233</v>
      </c>
      <c r="K5" s="68" t="s">
        <v>234</v>
      </c>
    </row>
    <row r="6" spans="1:11" ht="12.75">
      <c r="A6" s="213" t="s">
        <v>123</v>
      </c>
      <c r="B6" s="214"/>
      <c r="C6" s="214"/>
      <c r="D6" s="214"/>
      <c r="E6" s="214"/>
      <c r="F6" s="214"/>
      <c r="G6" s="214"/>
      <c r="H6" s="214"/>
      <c r="I6" s="248"/>
      <c r="J6" s="248"/>
      <c r="K6" s="249"/>
    </row>
    <row r="7" spans="1:11" ht="12.75">
      <c r="A7" s="221" t="s">
        <v>156</v>
      </c>
      <c r="B7" s="222"/>
      <c r="C7" s="222"/>
      <c r="D7" s="222"/>
      <c r="E7" s="222"/>
      <c r="F7" s="222"/>
      <c r="G7" s="222"/>
      <c r="H7" s="222"/>
      <c r="I7" s="1">
        <v>1</v>
      </c>
      <c r="J7" s="7">
        <f>2426564+6939204+4858212</f>
        <v>14223980</v>
      </c>
      <c r="K7" s="7">
        <f>2649735+9206282+4024338+54315</f>
        <v>15934670</v>
      </c>
    </row>
    <row r="8" spans="1:11" ht="12.75">
      <c r="A8" s="221" t="s">
        <v>88</v>
      </c>
      <c r="B8" s="222"/>
      <c r="C8" s="222"/>
      <c r="D8" s="222"/>
      <c r="E8" s="222"/>
      <c r="F8" s="222"/>
      <c r="G8" s="222"/>
      <c r="H8" s="222"/>
      <c r="I8" s="1">
        <v>2</v>
      </c>
      <c r="J8" s="7"/>
      <c r="K8" s="7"/>
    </row>
    <row r="9" spans="1:11" ht="12.75">
      <c r="A9" s="221" t="s">
        <v>89</v>
      </c>
      <c r="B9" s="222"/>
      <c r="C9" s="222"/>
      <c r="D9" s="222"/>
      <c r="E9" s="222"/>
      <c r="F9" s="222"/>
      <c r="G9" s="222"/>
      <c r="H9" s="222"/>
      <c r="I9" s="1">
        <v>3</v>
      </c>
      <c r="J9" s="7">
        <v>90386</v>
      </c>
      <c r="K9" s="7">
        <v>56088</v>
      </c>
    </row>
    <row r="10" spans="1:11" ht="12.75">
      <c r="A10" s="221" t="s">
        <v>90</v>
      </c>
      <c r="B10" s="222"/>
      <c r="C10" s="222"/>
      <c r="D10" s="222"/>
      <c r="E10" s="222"/>
      <c r="F10" s="222"/>
      <c r="G10" s="222"/>
      <c r="H10" s="222"/>
      <c r="I10" s="1">
        <v>4</v>
      </c>
      <c r="J10" s="7">
        <v>174762</v>
      </c>
      <c r="K10" s="7">
        <v>125174</v>
      </c>
    </row>
    <row r="11" spans="1:11" ht="12.75">
      <c r="A11" s="221" t="s">
        <v>91</v>
      </c>
      <c r="B11" s="222"/>
      <c r="C11" s="222"/>
      <c r="D11" s="222"/>
      <c r="E11" s="222"/>
      <c r="F11" s="222"/>
      <c r="G11" s="222"/>
      <c r="H11" s="222"/>
      <c r="I11" s="1">
        <v>5</v>
      </c>
      <c r="J11" s="7">
        <f>318005-10000</f>
        <v>308005</v>
      </c>
      <c r="K11" s="7">
        <f>16177684-16061617</f>
        <v>116067</v>
      </c>
    </row>
    <row r="12" spans="1:11" ht="12.75">
      <c r="A12" s="200" t="s">
        <v>155</v>
      </c>
      <c r="B12" s="201"/>
      <c r="C12" s="201"/>
      <c r="D12" s="201"/>
      <c r="E12" s="201"/>
      <c r="F12" s="201"/>
      <c r="G12" s="201"/>
      <c r="H12" s="201"/>
      <c r="I12" s="1">
        <v>6</v>
      </c>
      <c r="J12" s="61">
        <f>SUM(J7:J11)</f>
        <v>14797133</v>
      </c>
      <c r="K12" s="52">
        <f>SUM(K7:K11)</f>
        <v>16231999</v>
      </c>
    </row>
    <row r="13" spans="1:11" ht="12.75">
      <c r="A13" s="221" t="s">
        <v>92</v>
      </c>
      <c r="B13" s="222"/>
      <c r="C13" s="222"/>
      <c r="D13" s="222"/>
      <c r="E13" s="222"/>
      <c r="F13" s="222"/>
      <c r="G13" s="222"/>
      <c r="H13" s="222"/>
      <c r="I13" s="1">
        <v>7</v>
      </c>
      <c r="J13" s="7">
        <f>1283759+3573646+159297+281128+173-190269</f>
        <v>5107734</v>
      </c>
      <c r="K13" s="7">
        <f>1796315+4187387+3125+78212-180345</f>
        <v>5884694</v>
      </c>
    </row>
    <row r="14" spans="1:11" ht="12.75">
      <c r="A14" s="221" t="s">
        <v>93</v>
      </c>
      <c r="B14" s="222"/>
      <c r="C14" s="222"/>
      <c r="D14" s="222"/>
      <c r="E14" s="222"/>
      <c r="F14" s="222"/>
      <c r="G14" s="222"/>
      <c r="H14" s="222"/>
      <c r="I14" s="1">
        <v>8</v>
      </c>
      <c r="J14" s="7">
        <f>11213075+35016+421000</f>
        <v>11669091</v>
      </c>
      <c r="K14" s="7">
        <f>10113666+26000+179540</f>
        <v>10319206</v>
      </c>
    </row>
    <row r="15" spans="1:11" ht="12.75">
      <c r="A15" s="221" t="s">
        <v>94</v>
      </c>
      <c r="B15" s="222"/>
      <c r="C15" s="222"/>
      <c r="D15" s="222"/>
      <c r="E15" s="222"/>
      <c r="F15" s="222"/>
      <c r="G15" s="222"/>
      <c r="H15" s="222"/>
      <c r="I15" s="1">
        <v>9</v>
      </c>
      <c r="J15" s="7">
        <v>190269</v>
      </c>
      <c r="K15" s="7">
        <v>180345</v>
      </c>
    </row>
    <row r="16" spans="1:11" ht="12.75">
      <c r="A16" s="221" t="s">
        <v>95</v>
      </c>
      <c r="B16" s="222"/>
      <c r="C16" s="222"/>
      <c r="D16" s="222"/>
      <c r="E16" s="222"/>
      <c r="F16" s="222"/>
      <c r="G16" s="222"/>
      <c r="H16" s="222"/>
      <c r="I16" s="1">
        <v>10</v>
      </c>
      <c r="J16" s="7">
        <v>173</v>
      </c>
      <c r="K16" s="7"/>
    </row>
    <row r="17" spans="1:11" ht="12.75">
      <c r="A17" s="221" t="s">
        <v>96</v>
      </c>
      <c r="B17" s="222"/>
      <c r="C17" s="222"/>
      <c r="D17" s="222"/>
      <c r="E17" s="222"/>
      <c r="F17" s="222"/>
      <c r="G17" s="222"/>
      <c r="H17" s="222"/>
      <c r="I17" s="1">
        <v>11</v>
      </c>
      <c r="J17" s="7">
        <f>312742+86826</f>
        <v>399568</v>
      </c>
      <c r="K17" s="7">
        <f>623656+72680</f>
        <v>696336</v>
      </c>
    </row>
    <row r="18" spans="1:11" ht="12.75">
      <c r="A18" s="221" t="s">
        <v>97</v>
      </c>
      <c r="B18" s="222"/>
      <c r="C18" s="222"/>
      <c r="D18" s="222"/>
      <c r="E18" s="222"/>
      <c r="F18" s="222"/>
      <c r="G18" s="222"/>
      <c r="H18" s="222"/>
      <c r="I18" s="1">
        <v>12</v>
      </c>
      <c r="J18" s="7">
        <f>138891+7924+98729+16343+36005</f>
        <v>297892</v>
      </c>
      <c r="K18" s="7">
        <f>116772+165233+8597+44152</f>
        <v>334754</v>
      </c>
    </row>
    <row r="19" spans="1:11" ht="12.75">
      <c r="A19" s="200" t="s">
        <v>27</v>
      </c>
      <c r="B19" s="201"/>
      <c r="C19" s="201"/>
      <c r="D19" s="201"/>
      <c r="E19" s="201"/>
      <c r="F19" s="201"/>
      <c r="G19" s="201"/>
      <c r="H19" s="201"/>
      <c r="I19" s="1">
        <v>13</v>
      </c>
      <c r="J19" s="61">
        <f>SUM(J13:J18)</f>
        <v>17664727</v>
      </c>
      <c r="K19" s="52">
        <f>SUM(K13:K18)</f>
        <v>17415335</v>
      </c>
    </row>
    <row r="20" spans="1:11" ht="12.75">
      <c r="A20" s="200" t="s">
        <v>79</v>
      </c>
      <c r="B20" s="252"/>
      <c r="C20" s="252"/>
      <c r="D20" s="252"/>
      <c r="E20" s="252"/>
      <c r="F20" s="252"/>
      <c r="G20" s="252"/>
      <c r="H20" s="253"/>
      <c r="I20" s="1">
        <v>14</v>
      </c>
      <c r="J20" s="61">
        <f>IF(J12&gt;J19,J12-J19,0)</f>
        <v>0</v>
      </c>
      <c r="K20" s="52">
        <f>IF(K12&gt;K19,K12-K19,0)</f>
        <v>0</v>
      </c>
    </row>
    <row r="21" spans="1:11" ht="12.75">
      <c r="A21" s="227" t="s">
        <v>80</v>
      </c>
      <c r="B21" s="250"/>
      <c r="C21" s="250"/>
      <c r="D21" s="250"/>
      <c r="E21" s="250"/>
      <c r="F21" s="250"/>
      <c r="G21" s="250"/>
      <c r="H21" s="251"/>
      <c r="I21" s="1">
        <v>15</v>
      </c>
      <c r="J21" s="61">
        <f>IF(J19&gt;J12,J19-J12,0)</f>
        <v>2867594</v>
      </c>
      <c r="K21" s="52">
        <f>IF(K19&gt;K12,K19-K12,0)</f>
        <v>1183336</v>
      </c>
    </row>
    <row r="22" spans="1:11" ht="12.75">
      <c r="A22" s="213" t="s">
        <v>124</v>
      </c>
      <c r="B22" s="214"/>
      <c r="C22" s="214"/>
      <c r="D22" s="214"/>
      <c r="E22" s="214"/>
      <c r="F22" s="214"/>
      <c r="G22" s="214"/>
      <c r="H22" s="214"/>
      <c r="I22" s="248"/>
      <c r="J22" s="248"/>
      <c r="K22" s="249"/>
    </row>
    <row r="23" spans="1:11" ht="12.75">
      <c r="A23" s="221" t="s">
        <v>129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130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268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269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131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00" t="s">
        <v>85</v>
      </c>
      <c r="B28" s="201"/>
      <c r="C28" s="201"/>
      <c r="D28" s="201"/>
      <c r="E28" s="201"/>
      <c r="F28" s="201"/>
      <c r="G28" s="201"/>
      <c r="H28" s="201"/>
      <c r="I28" s="1">
        <v>21</v>
      </c>
      <c r="J28" s="61">
        <f>SUM(J23:J27)</f>
        <v>0</v>
      </c>
      <c r="K28" s="52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>
        <f>45135+28564</f>
        <v>73699</v>
      </c>
      <c r="K29" s="7">
        <f>328174+26507</f>
        <v>354681</v>
      </c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7">
        <f>4121711+3597</f>
        <v>4125308</v>
      </c>
      <c r="K31" s="7">
        <f>4058168+10885+55326</f>
        <v>4124379</v>
      </c>
    </row>
    <row r="32" spans="1:11" ht="12.75">
      <c r="A32" s="200" t="s">
        <v>28</v>
      </c>
      <c r="B32" s="201"/>
      <c r="C32" s="201"/>
      <c r="D32" s="201"/>
      <c r="E32" s="201"/>
      <c r="F32" s="201"/>
      <c r="G32" s="201"/>
      <c r="H32" s="201"/>
      <c r="I32" s="1">
        <v>25</v>
      </c>
      <c r="J32" s="61">
        <f>SUM(J29:J31)</f>
        <v>4199007</v>
      </c>
      <c r="K32" s="52">
        <f>SUM(K29:K31)</f>
        <v>4479060</v>
      </c>
    </row>
    <row r="33" spans="1:11" ht="12.75">
      <c r="A33" s="200" t="s">
        <v>81</v>
      </c>
      <c r="B33" s="201"/>
      <c r="C33" s="201"/>
      <c r="D33" s="201"/>
      <c r="E33" s="201"/>
      <c r="F33" s="201"/>
      <c r="G33" s="201"/>
      <c r="H33" s="201"/>
      <c r="I33" s="1">
        <v>26</v>
      </c>
      <c r="J33" s="61">
        <f>IF(J28&gt;J32,J28-J32,0)</f>
        <v>0</v>
      </c>
      <c r="K33" s="52">
        <f>IF(K28&gt;K32,K28-K32,0)</f>
        <v>0</v>
      </c>
    </row>
    <row r="34" spans="1:11" ht="12.75">
      <c r="A34" s="200" t="s">
        <v>82</v>
      </c>
      <c r="B34" s="201"/>
      <c r="C34" s="201"/>
      <c r="D34" s="201"/>
      <c r="E34" s="201"/>
      <c r="F34" s="201"/>
      <c r="G34" s="201"/>
      <c r="H34" s="201"/>
      <c r="I34" s="1">
        <v>27</v>
      </c>
      <c r="J34" s="61">
        <f>IF(J32&gt;J28,J32-J28,0)</f>
        <v>4199007</v>
      </c>
      <c r="K34" s="52">
        <f>IF(K32&gt;K28,K32-K28,0)</f>
        <v>4479060</v>
      </c>
    </row>
    <row r="35" spans="1:11" ht="12.75">
      <c r="A35" s="213" t="s">
        <v>125</v>
      </c>
      <c r="B35" s="214"/>
      <c r="C35" s="214"/>
      <c r="D35" s="214"/>
      <c r="E35" s="214"/>
      <c r="F35" s="214"/>
      <c r="G35" s="214"/>
      <c r="H35" s="214"/>
      <c r="I35" s="248">
        <v>0</v>
      </c>
      <c r="J35" s="248"/>
      <c r="K35" s="249"/>
    </row>
    <row r="36" spans="1:11" ht="12.75">
      <c r="A36" s="221" t="s">
        <v>137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18</v>
      </c>
      <c r="B37" s="222"/>
      <c r="C37" s="222"/>
      <c r="D37" s="222"/>
      <c r="E37" s="222"/>
      <c r="F37" s="222"/>
      <c r="G37" s="222"/>
      <c r="H37" s="222"/>
      <c r="I37" s="1">
        <v>29</v>
      </c>
      <c r="J37" s="7">
        <v>7439918</v>
      </c>
      <c r="K37" s="7">
        <v>9999527</v>
      </c>
    </row>
    <row r="38" spans="1:11" ht="12.75">
      <c r="A38" s="221" t="s">
        <v>19</v>
      </c>
      <c r="B38" s="222"/>
      <c r="C38" s="222"/>
      <c r="D38" s="222"/>
      <c r="E38" s="222"/>
      <c r="F38" s="222"/>
      <c r="G38" s="222"/>
      <c r="H38" s="222"/>
      <c r="I38" s="1">
        <v>30</v>
      </c>
      <c r="J38" s="7">
        <f>169342+998</f>
        <v>170340</v>
      </c>
      <c r="K38" s="7">
        <f>782+39600</f>
        <v>40382</v>
      </c>
    </row>
    <row r="39" spans="1:11" ht="12.75">
      <c r="A39" s="200" t="s">
        <v>29</v>
      </c>
      <c r="B39" s="201"/>
      <c r="C39" s="201"/>
      <c r="D39" s="201"/>
      <c r="E39" s="201"/>
      <c r="F39" s="201"/>
      <c r="G39" s="201"/>
      <c r="H39" s="201"/>
      <c r="I39" s="1">
        <v>31</v>
      </c>
      <c r="J39" s="61">
        <f>SUM(J36:J38)</f>
        <v>7610258</v>
      </c>
      <c r="K39" s="52">
        <f>SUM(K36:K38)</f>
        <v>10039909</v>
      </c>
    </row>
    <row r="40" spans="1:11" ht="12.75">
      <c r="A40" s="221" t="s">
        <v>20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21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22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23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24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>
        <v>14078</v>
      </c>
      <c r="K44" s="7">
        <v>48028</v>
      </c>
    </row>
    <row r="45" spans="1:11" ht="12.75">
      <c r="A45" s="200" t="s">
        <v>117</v>
      </c>
      <c r="B45" s="201"/>
      <c r="C45" s="201"/>
      <c r="D45" s="201"/>
      <c r="E45" s="201"/>
      <c r="F45" s="201"/>
      <c r="G45" s="201"/>
      <c r="H45" s="201"/>
      <c r="I45" s="1">
        <v>37</v>
      </c>
      <c r="J45" s="61">
        <f>SUM(J40:J44)</f>
        <v>14078</v>
      </c>
      <c r="K45" s="52">
        <f>SUM(K40:K44)</f>
        <v>48028</v>
      </c>
    </row>
    <row r="46" spans="1:11" ht="12.75">
      <c r="A46" s="200" t="s">
        <v>127</v>
      </c>
      <c r="B46" s="201"/>
      <c r="C46" s="201"/>
      <c r="D46" s="201"/>
      <c r="E46" s="201"/>
      <c r="F46" s="201"/>
      <c r="G46" s="201"/>
      <c r="H46" s="201"/>
      <c r="I46" s="1">
        <v>38</v>
      </c>
      <c r="J46" s="61">
        <f>IF(J39&gt;J45,J39-J45,0)</f>
        <v>7596180</v>
      </c>
      <c r="K46" s="52">
        <f>IF(K39&gt;K45,K39-K45,0)</f>
        <v>9991881</v>
      </c>
    </row>
    <row r="47" spans="1:11" ht="12.75">
      <c r="A47" s="200" t="s">
        <v>128</v>
      </c>
      <c r="B47" s="201"/>
      <c r="C47" s="201"/>
      <c r="D47" s="201"/>
      <c r="E47" s="201"/>
      <c r="F47" s="201"/>
      <c r="G47" s="201"/>
      <c r="H47" s="201"/>
      <c r="I47" s="1">
        <v>39</v>
      </c>
      <c r="J47" s="61">
        <f>IF(J45&gt;J39,J45-J39,0)</f>
        <v>0</v>
      </c>
      <c r="K47" s="52">
        <f>IF(K45&gt;K39,K45-K39,0)</f>
        <v>0</v>
      </c>
    </row>
    <row r="48" spans="1:11" ht="12.75">
      <c r="A48" s="200" t="s">
        <v>118</v>
      </c>
      <c r="B48" s="201"/>
      <c r="C48" s="201"/>
      <c r="D48" s="201"/>
      <c r="E48" s="201"/>
      <c r="F48" s="201"/>
      <c r="G48" s="201"/>
      <c r="H48" s="201"/>
      <c r="I48" s="1">
        <v>40</v>
      </c>
      <c r="J48" s="61">
        <f>IF(J20-J21+J33-J34+J46-J47&gt;0,J20-J21+J33-J34+J46-J47,0)</f>
        <v>529579</v>
      </c>
      <c r="K48" s="52">
        <f>IF(K20-K21+K33-K34+K46-K47&gt;0,K20-K21+K33-K34+K46-K47,0)</f>
        <v>4329485</v>
      </c>
    </row>
    <row r="49" spans="1:11" ht="12.75">
      <c r="A49" s="200" t="s">
        <v>11</v>
      </c>
      <c r="B49" s="201"/>
      <c r="C49" s="201"/>
      <c r="D49" s="201"/>
      <c r="E49" s="201"/>
      <c r="F49" s="201"/>
      <c r="G49" s="201"/>
      <c r="H49" s="201"/>
      <c r="I49" s="1">
        <v>41</v>
      </c>
      <c r="J49" s="61">
        <f>IF(J21-J20+J34-J33+J47-J46&gt;0,J21-J20+J34-J33+J47-J46,0)</f>
        <v>0</v>
      </c>
      <c r="K49" s="52"/>
    </row>
    <row r="50" spans="1:11" ht="12.75">
      <c r="A50" s="200" t="s">
        <v>126</v>
      </c>
      <c r="B50" s="201"/>
      <c r="C50" s="201"/>
      <c r="D50" s="201"/>
      <c r="E50" s="201"/>
      <c r="F50" s="201"/>
      <c r="G50" s="201"/>
      <c r="H50" s="201"/>
      <c r="I50" s="1">
        <v>42</v>
      </c>
      <c r="J50" s="7">
        <v>2763836</v>
      </c>
      <c r="K50" s="7">
        <v>1270448</v>
      </c>
    </row>
    <row r="51" spans="1:11" ht="12.75">
      <c r="A51" s="200" t="s">
        <v>138</v>
      </c>
      <c r="B51" s="201"/>
      <c r="C51" s="201"/>
      <c r="D51" s="201"/>
      <c r="E51" s="201"/>
      <c r="F51" s="201"/>
      <c r="G51" s="201"/>
      <c r="H51" s="201"/>
      <c r="I51" s="1">
        <v>43</v>
      </c>
      <c r="J51" s="7">
        <f>+J46</f>
        <v>7596180</v>
      </c>
      <c r="K51" s="7">
        <f>+K46</f>
        <v>9991881</v>
      </c>
    </row>
    <row r="52" spans="1:11" ht="12.75">
      <c r="A52" s="200" t="s">
        <v>139</v>
      </c>
      <c r="B52" s="201"/>
      <c r="C52" s="201"/>
      <c r="D52" s="201"/>
      <c r="E52" s="201"/>
      <c r="F52" s="201"/>
      <c r="G52" s="201"/>
      <c r="H52" s="201"/>
      <c r="I52" s="1">
        <v>44</v>
      </c>
      <c r="J52" s="7">
        <f>+J34+J21</f>
        <v>7066601</v>
      </c>
      <c r="K52" s="7">
        <f>+K34+K21</f>
        <v>5662396</v>
      </c>
    </row>
    <row r="53" spans="1:11" ht="12.75">
      <c r="A53" s="227" t="s">
        <v>140</v>
      </c>
      <c r="B53" s="228"/>
      <c r="C53" s="228"/>
      <c r="D53" s="228"/>
      <c r="E53" s="228"/>
      <c r="F53" s="228"/>
      <c r="G53" s="228"/>
      <c r="H53" s="228"/>
      <c r="I53" s="4">
        <v>45</v>
      </c>
      <c r="J53" s="62">
        <f>J50+J51-J52</f>
        <v>3293415</v>
      </c>
      <c r="K53" s="60">
        <f>K50+K51-K52</f>
        <v>5599933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view="pageBreakPreview" zoomScale="125" zoomScaleSheetLayoutView="125" zoomScalePageLayoutView="0" workbookViewId="0" topLeftCell="A1">
      <selection activeCell="A1" sqref="A1:IV16384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10" width="9.140625" style="71" customWidth="1"/>
    <col min="11" max="11" width="9.57421875" style="71" bestFit="1" customWidth="1"/>
    <col min="12" max="16384" width="9.140625" style="71" customWidth="1"/>
  </cols>
  <sheetData>
    <row r="1" spans="1:12" ht="12.75" customHeight="1">
      <c r="A1" s="280" t="s">
        <v>231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70"/>
    </row>
    <row r="2" spans="1:12" ht="15.75">
      <c r="A2" s="41"/>
      <c r="B2" s="69"/>
      <c r="C2" s="265" t="s">
        <v>232</v>
      </c>
      <c r="D2" s="265"/>
      <c r="E2" s="72" t="s">
        <v>270</v>
      </c>
      <c r="F2" s="42" t="s">
        <v>200</v>
      </c>
      <c r="G2" s="266" t="s">
        <v>271</v>
      </c>
      <c r="H2" s="266"/>
      <c r="I2" s="69"/>
      <c r="J2" s="69"/>
      <c r="K2" s="69"/>
      <c r="L2" s="73"/>
    </row>
    <row r="3" spans="1:11" ht="45">
      <c r="A3" s="267" t="s">
        <v>34</v>
      </c>
      <c r="B3" s="268"/>
      <c r="C3" s="268"/>
      <c r="D3" s="268"/>
      <c r="E3" s="268"/>
      <c r="F3" s="268"/>
      <c r="G3" s="268"/>
      <c r="H3" s="269"/>
      <c r="I3" s="76" t="s">
        <v>255</v>
      </c>
      <c r="J3" s="77" t="s">
        <v>293</v>
      </c>
      <c r="K3" s="77" t="s">
        <v>294</v>
      </c>
    </row>
    <row r="4" spans="1:11" ht="12.75">
      <c r="A4" s="270">
        <v>1</v>
      </c>
      <c r="B4" s="271"/>
      <c r="C4" s="271"/>
      <c r="D4" s="271"/>
      <c r="E4" s="271"/>
      <c r="F4" s="271"/>
      <c r="G4" s="271"/>
      <c r="H4" s="272"/>
      <c r="I4" s="79">
        <v>2</v>
      </c>
      <c r="J4" s="78" t="s">
        <v>233</v>
      </c>
      <c r="K4" s="78" t="s">
        <v>234</v>
      </c>
    </row>
    <row r="5" spans="1:11" ht="12.75" customHeight="1">
      <c r="A5" s="259" t="s">
        <v>235</v>
      </c>
      <c r="B5" s="260"/>
      <c r="C5" s="260"/>
      <c r="D5" s="260"/>
      <c r="E5" s="260"/>
      <c r="F5" s="260"/>
      <c r="G5" s="260"/>
      <c r="H5" s="261"/>
      <c r="I5" s="43">
        <v>1</v>
      </c>
      <c r="J5" s="44">
        <v>103144000</v>
      </c>
      <c r="K5" s="44">
        <v>103144000</v>
      </c>
    </row>
    <row r="6" spans="1:11" ht="12.75" customHeight="1">
      <c r="A6" s="262" t="s">
        <v>236</v>
      </c>
      <c r="B6" s="263"/>
      <c r="C6" s="263"/>
      <c r="D6" s="263"/>
      <c r="E6" s="263"/>
      <c r="F6" s="263"/>
      <c r="G6" s="263"/>
      <c r="H6" s="264"/>
      <c r="I6" s="43">
        <v>2</v>
      </c>
      <c r="J6" s="45"/>
      <c r="K6" s="45"/>
    </row>
    <row r="7" spans="1:11" ht="12.75" customHeight="1">
      <c r="A7" s="262" t="s">
        <v>237</v>
      </c>
      <c r="B7" s="263"/>
      <c r="C7" s="263"/>
      <c r="D7" s="263"/>
      <c r="E7" s="263"/>
      <c r="F7" s="263"/>
      <c r="G7" s="263"/>
      <c r="H7" s="264"/>
      <c r="I7" s="43">
        <v>3</v>
      </c>
      <c r="J7" s="45">
        <v>9808842</v>
      </c>
      <c r="K7" s="45">
        <v>9808842</v>
      </c>
    </row>
    <row r="8" spans="1:11" ht="12.75" customHeight="1">
      <c r="A8" s="262" t="s">
        <v>238</v>
      </c>
      <c r="B8" s="263"/>
      <c r="C8" s="263"/>
      <c r="D8" s="263"/>
      <c r="E8" s="263"/>
      <c r="F8" s="263"/>
      <c r="G8" s="263"/>
      <c r="H8" s="264"/>
      <c r="I8" s="43">
        <v>4</v>
      </c>
      <c r="J8" s="45">
        <v>-17303214</v>
      </c>
      <c r="K8" s="45">
        <v>-21620463</v>
      </c>
    </row>
    <row r="9" spans="1:11" ht="12.75" customHeight="1">
      <c r="A9" s="262" t="s">
        <v>239</v>
      </c>
      <c r="B9" s="263"/>
      <c r="C9" s="263"/>
      <c r="D9" s="263"/>
      <c r="E9" s="263"/>
      <c r="F9" s="263"/>
      <c r="G9" s="263"/>
      <c r="H9" s="264"/>
      <c r="I9" s="43">
        <v>5</v>
      </c>
      <c r="J9" s="45">
        <v>-6260732</v>
      </c>
      <c r="K9" s="45">
        <v>-6223060</v>
      </c>
    </row>
    <row r="10" spans="1:11" ht="12.75" customHeight="1">
      <c r="A10" s="262" t="s">
        <v>240</v>
      </c>
      <c r="B10" s="263"/>
      <c r="C10" s="263"/>
      <c r="D10" s="263"/>
      <c r="E10" s="263"/>
      <c r="F10" s="263"/>
      <c r="G10" s="263"/>
      <c r="H10" s="264"/>
      <c r="I10" s="43">
        <v>6</v>
      </c>
      <c r="J10" s="45">
        <v>27164505</v>
      </c>
      <c r="K10" s="45">
        <v>27164505</v>
      </c>
    </row>
    <row r="11" spans="1:11" ht="12.75" customHeight="1">
      <c r="A11" s="262" t="s">
        <v>241</v>
      </c>
      <c r="B11" s="263"/>
      <c r="C11" s="263"/>
      <c r="D11" s="263"/>
      <c r="E11" s="263"/>
      <c r="F11" s="263"/>
      <c r="G11" s="263"/>
      <c r="H11" s="264"/>
      <c r="I11" s="43">
        <v>7</v>
      </c>
      <c r="J11" s="45"/>
      <c r="K11" s="45"/>
    </row>
    <row r="12" spans="1:11" ht="12.75" customHeight="1">
      <c r="A12" s="262" t="s">
        <v>242</v>
      </c>
      <c r="B12" s="263"/>
      <c r="C12" s="263"/>
      <c r="D12" s="263"/>
      <c r="E12" s="263"/>
      <c r="F12" s="263"/>
      <c r="G12" s="263"/>
      <c r="H12" s="264"/>
      <c r="I12" s="43">
        <v>8</v>
      </c>
      <c r="J12" s="45"/>
      <c r="K12" s="45"/>
    </row>
    <row r="13" spans="1:11" ht="12.75" customHeight="1">
      <c r="A13" s="262" t="s">
        <v>243</v>
      </c>
      <c r="B13" s="263"/>
      <c r="C13" s="263"/>
      <c r="D13" s="263"/>
      <c r="E13" s="263"/>
      <c r="F13" s="263"/>
      <c r="G13" s="263"/>
      <c r="H13" s="264"/>
      <c r="I13" s="43">
        <v>9</v>
      </c>
      <c r="J13" s="45"/>
      <c r="K13" s="45"/>
    </row>
    <row r="14" spans="1:11" ht="12.75" customHeight="1">
      <c r="A14" s="273" t="s">
        <v>244</v>
      </c>
      <c r="B14" s="274"/>
      <c r="C14" s="274"/>
      <c r="D14" s="274"/>
      <c r="E14" s="274"/>
      <c r="F14" s="274"/>
      <c r="G14" s="274"/>
      <c r="H14" s="275"/>
      <c r="I14" s="43">
        <v>10</v>
      </c>
      <c r="J14" s="74">
        <f>SUM(J5:J13)</f>
        <v>116553401</v>
      </c>
      <c r="K14" s="74">
        <f>SUM(K5:K13)</f>
        <v>112273824</v>
      </c>
    </row>
    <row r="15" spans="1:11" ht="12.75" customHeight="1">
      <c r="A15" s="262" t="s">
        <v>245</v>
      </c>
      <c r="B15" s="263"/>
      <c r="C15" s="263"/>
      <c r="D15" s="263"/>
      <c r="E15" s="263"/>
      <c r="F15" s="263"/>
      <c r="G15" s="263"/>
      <c r="H15" s="264"/>
      <c r="I15" s="43">
        <v>11</v>
      </c>
      <c r="J15" s="45"/>
      <c r="K15" s="45"/>
    </row>
    <row r="16" spans="1:11" ht="12.75" customHeight="1">
      <c r="A16" s="262" t="s">
        <v>246</v>
      </c>
      <c r="B16" s="263"/>
      <c r="C16" s="263"/>
      <c r="D16" s="263"/>
      <c r="E16" s="263"/>
      <c r="F16" s="263"/>
      <c r="G16" s="263"/>
      <c r="H16" s="264"/>
      <c r="I16" s="43">
        <v>12</v>
      </c>
      <c r="J16" s="45"/>
      <c r="K16" s="45"/>
    </row>
    <row r="17" spans="1:11" ht="12.75" customHeight="1">
      <c r="A17" s="262" t="s">
        <v>247</v>
      </c>
      <c r="B17" s="263"/>
      <c r="C17" s="263"/>
      <c r="D17" s="263"/>
      <c r="E17" s="263"/>
      <c r="F17" s="263"/>
      <c r="G17" s="263"/>
      <c r="H17" s="264"/>
      <c r="I17" s="43">
        <v>13</v>
      </c>
      <c r="J17" s="45"/>
      <c r="K17" s="45"/>
    </row>
    <row r="18" spans="1:11" ht="12.75" customHeight="1">
      <c r="A18" s="262" t="s">
        <v>248</v>
      </c>
      <c r="B18" s="263"/>
      <c r="C18" s="263"/>
      <c r="D18" s="263"/>
      <c r="E18" s="263"/>
      <c r="F18" s="263"/>
      <c r="G18" s="263"/>
      <c r="H18" s="264"/>
      <c r="I18" s="43">
        <v>14</v>
      </c>
      <c r="J18" s="45"/>
      <c r="K18" s="45"/>
    </row>
    <row r="19" spans="1:11" ht="12.75" customHeight="1">
      <c r="A19" s="262" t="s">
        <v>249</v>
      </c>
      <c r="B19" s="263"/>
      <c r="C19" s="263"/>
      <c r="D19" s="263"/>
      <c r="E19" s="263"/>
      <c r="F19" s="263"/>
      <c r="G19" s="263"/>
      <c r="H19" s="264"/>
      <c r="I19" s="43">
        <v>15</v>
      </c>
      <c r="J19" s="45"/>
      <c r="K19" s="45"/>
    </row>
    <row r="20" spans="1:11" ht="12.75" customHeight="1">
      <c r="A20" s="262" t="s">
        <v>250</v>
      </c>
      <c r="B20" s="263"/>
      <c r="C20" s="263"/>
      <c r="D20" s="263"/>
      <c r="E20" s="263"/>
      <c r="F20" s="263"/>
      <c r="G20" s="263"/>
      <c r="H20" s="264"/>
      <c r="I20" s="43">
        <v>16</v>
      </c>
      <c r="J20" s="45"/>
      <c r="K20" s="45"/>
    </row>
    <row r="21" spans="1:11" ht="12.75" customHeight="1">
      <c r="A21" s="281" t="s">
        <v>251</v>
      </c>
      <c r="B21" s="282"/>
      <c r="C21" s="282"/>
      <c r="D21" s="282"/>
      <c r="E21" s="282"/>
      <c r="F21" s="282"/>
      <c r="G21" s="282"/>
      <c r="H21" s="283"/>
      <c r="I21" s="43">
        <v>17</v>
      </c>
      <c r="J21" s="75">
        <f>SUM(J15:J20)</f>
        <v>0</v>
      </c>
      <c r="K21" s="75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5"/>
      <c r="J22" s="285"/>
      <c r="K22" s="286"/>
    </row>
    <row r="23" spans="1:11" ht="12.75" customHeight="1">
      <c r="A23" s="259" t="s">
        <v>252</v>
      </c>
      <c r="B23" s="260"/>
      <c r="C23" s="260"/>
      <c r="D23" s="260"/>
      <c r="E23" s="260"/>
      <c r="F23" s="260"/>
      <c r="G23" s="260"/>
      <c r="H23" s="261"/>
      <c r="I23" s="46">
        <v>18</v>
      </c>
      <c r="J23" s="44"/>
      <c r="K23" s="44"/>
    </row>
    <row r="24" spans="1:11" ht="17.25" customHeight="1">
      <c r="A24" s="276" t="s">
        <v>253</v>
      </c>
      <c r="B24" s="277"/>
      <c r="C24" s="277"/>
      <c r="D24" s="277"/>
      <c r="E24" s="277"/>
      <c r="F24" s="277"/>
      <c r="G24" s="277"/>
      <c r="H24" s="278"/>
      <c r="I24" s="47">
        <v>19</v>
      </c>
      <c r="J24" s="75"/>
      <c r="K24" s="75"/>
    </row>
    <row r="25" spans="1:11" ht="30" customHeight="1">
      <c r="A25" s="279" t="s">
        <v>254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A65536 I26:K65536 I2:K21 B26:H65536 L1:IV65536 I23:K24 B2:G2"/>
  </dataValidation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showGridLines="0" view="pageBreakPreview" zoomScale="110" zoomScaleSheetLayoutView="110" zoomScalePageLayoutView="0" workbookViewId="0" topLeftCell="A1">
      <selection activeCell="E20" sqref="E20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7" t="s">
        <v>230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8" t="s">
        <v>296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Marijanav</cp:lastModifiedBy>
  <cp:lastPrinted>2014-07-24T08:51:23Z</cp:lastPrinted>
  <dcterms:created xsi:type="dcterms:W3CDTF">2008-10-17T11:51:54Z</dcterms:created>
  <dcterms:modified xsi:type="dcterms:W3CDTF">2014-07-24T08:58:16Z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