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<sst xmlns="http://schemas.openxmlformats.org/spreadsheetml/2006/main" count="343" uniqueCount="313">
  <si>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</si>
  <si>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</si>
  <si>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</si>
  <si>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</si>
  <si>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</si>
  <si>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</si>
  <si>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</si>
  <si>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</si>
  <si>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</si>
  <si>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</si>
  <si>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</si>
  <si>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</si>
  <si>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</si>
  <si>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</si>
  <si>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</si>
  <si>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</si>
  <si>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</si>
  <si>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</si>
  <si>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</si>
  <si>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</si>
  <si>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</si>
  <si>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</si>
  <si>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</si>
  <si>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</si>
  <si>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</si>
  <si>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</si>
  <si>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</si>
  <si>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</si>
  <si>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</si>
  <si>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</si>
  <si>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</si>
  <si>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</si>
  <si>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</si>
  <si>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</si>
  <si>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</si>
  <si>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</si>
  <si>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</si>
  <si>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</si>
  <si>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</si>
  <si>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</si>
  <si>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</si>
  <si>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</si>
  <si>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</si>
  <si>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</si>
  <si>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</si>
  <si>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</si>
  <si>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</si>
  <si>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</si>
  <si>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</si>
  <si>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</si>
  <si>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</si>
  <si>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</si>
  <si>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</si>
  <si>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</si>
  <si>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</si>
  <si>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</si>
  <si>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</si>
  <si>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</si>
  <si>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</si>
  <si>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</si>
  <si>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</si>
  <si>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</si>
  <si>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</si>
  <si>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</si>
  <si>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</si>
  <si>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</si>
  <si>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</si>
  <si>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</si>
  <si>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</si>
  <si>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</si>
  <si>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</si>
  <si>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</si>
  <si>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</si>
  <si>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</si>
  <si>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</si>
  <si>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</si>
  <si>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</si>
  <si>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</si>
  <si>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</si>
  <si>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</si>
  <si>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</si>
  <si>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</si>
  <si>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</si>
  <si>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</si>
  <si>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</si>
  <si>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</si>
  <si>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</si>
  <si>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</si>
  <si>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</si>
  <si>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</si>
  <si>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</si>
  <si>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</si>
  <si>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</si>
  <si>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</si>
  <si>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</si>
  <si>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</si>
  <si>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</si>
  <si>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</si>
  <si>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</si>
  <si>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</si>
  <si>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</si>
  <si>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</si>
  <si>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</si>
  <si>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</si>
  <si>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</si>
  <si>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</si>
  <si>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</si>
  <si>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</si>
  <si>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</si>
  <si>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</si>
  <si>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</si>
  <si>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</si>
  <si>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</si>
  <si>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</si>
  <si>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</si>
  <si>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</si>
  <si>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</si>
  <si>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</si>
  <si>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</si>
  <si>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</si>
  <si>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</si>
  <si>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</si>
  <si>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</si>
  <si>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</si>
  <si>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</si>
  <si>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</si>
  <si>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</si>
  <si>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</si>
  <si>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</si>
  <si>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</si>
  <si>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</si>
  <si>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</si>
  <si>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</si>
  <si>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</si>
  <si>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</si>
  <si>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</si>
  <si>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</si>
  <si>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</si>
  <si>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</si>
  <si>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</si>
  <si>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</si>
  <si>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</si>
  <si>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</si>
  <si>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</si>
  <si>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</si>
  <si>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</si>
  <si>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</si>
  <si>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</si>
  <si>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</si>
  <si>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</si>
  <si>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</si>
  <si>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</si>
  <si>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</si>
  <si>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</si>
  <si>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</si>
  <si>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</si>
  <si>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</si>
  <si>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</si>
  <si>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</si>
  <si>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</si>
  <si>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</si>
  <si>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</si>
  <si>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</si>
  <si>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</si>
  <si>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</si>
  <si>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</si>
  <si>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</si>
  <si>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</si>
  <si>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</si>
  <si>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</si>
  <si>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</si>
  <si>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</si>
  <si>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</si>
  <si>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</si>
  <si>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</si>
  <si>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</si>
  <si>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</si>
  <si>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</si>
  <si>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</si>
  <si>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</si>
  <si>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</si>
  <si>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</si>
  <si>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</si>
  <si>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</si>
  <si>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</si>
  <si>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</si>
  <si>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</si>
  <si>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</si>
  <si>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</si>
  <si>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</si>
  <si>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</si>
  <si>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</si>
  <si>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</si>
  <si>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</si>
  <si>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</si>
  <si>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</si>
  <si>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</si>
  <si>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</si>
  <si>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</si>
  <si>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</si>
  <si>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</si>
  <si>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</si>
  <si>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</si>
  <si>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</si>
  <si>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</si>
  <si>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</si>
  <si>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</si>
  <si>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</si>
  <si>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</si>
  <si>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</si>
  <si>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</si>
  <si>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</si>
  <si>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</si>
  <si>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</si>
  <si>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</si>
  <si>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</si>
  <si>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</si>
  <si>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</si>
  <si>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</si>
  <si>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</si>
  <si>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</si>
  <si>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</si>
  <si>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</si>
  <si>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</si>
  <si>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</si>
  <si>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</si>
  <si>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</si>
  <si>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</si>
  <si>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</si>
  <si>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</si>
  <si>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</si>
  <si>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</si>
  <si>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</si>
  <si>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</si>
  <si>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</si>
  <si>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</si>
  <si>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</si>
  <si>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</si>
  <si>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</si>
  <si>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</si>
  <si>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</si>
  <si>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</si>
  <si>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</si>
  <si>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</si>
  <si>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</si>
  <si>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</si>
  <si>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</si>
  <si>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</si>
  <si>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</si>
  <si>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</si>
  <si>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</si>
  <si>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</si>
  <si>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</si>
  <si>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</si>
  <si>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</si>
  <si>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</si>
  <si>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</si>
  <si>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</si>
  <si>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</si>
  <si>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</si>
  <si>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</si>
  <si>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</si>
  <si>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</si>
  <si>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</si>
  <si>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</si>
  <si>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</si>
  <si>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</si>
  <si>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</si>
  <si>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</si>
  <si>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</si>
  <si>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</si>
  <si>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</si>
  <si>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</si>
  <si>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</si>
  <si>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</si>
  <si>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</si>
  <si>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</si>
  <si>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</si>
  <si>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</si>
  <si>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</si>
  <si>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</si>
  <si>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</si>
  <si>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 xml:space="preserve">     3. Novčani primici od kamata</t>
  </si>
  <si>
    <t xml:space="preserve">     4. Novčani primici od dividendi</t>
  </si>
  <si>
    <t>stanje na dan 31.03.2013.</t>
  </si>
  <si>
    <t>Obveznik: HOTELI MAESTRAL d.d._____________________________________________________________</t>
  </si>
  <si>
    <t>u razdoblju 01.01.2013. do 31.03.2013.</t>
  </si>
  <si>
    <t>Tekuće razdoblje 01.01.-31.03.2013.</t>
  </si>
  <si>
    <t>Prethodno razdoblje 01.01.-31.03.2012.</t>
  </si>
  <si>
    <t>Prethodno razdoblje 31.12.2012.</t>
  </si>
  <si>
    <t>Tekuće razdoblje 31.03.2013.</t>
  </si>
  <si>
    <t>01.01.</t>
  </si>
  <si>
    <t>31.03.2013.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</si>
  <si>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</si>
  <si>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</si>
  <si>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</si>
  <si>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</si>
  <si>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</si>
  <si>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</si>
  <si>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</si>
  <si>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</si>
  <si>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</si>
  <si>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</si>
  <si>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</si>
  <si>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</si>
  <si>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</si>
  <si>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</si>
  <si>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mr.sc. Obuljen Davorko</t>
  </si>
  <si>
    <t>Obveznik: HOTELI MAESTRAL d.d.____________________________________________________________</t>
  </si>
  <si>
    <t>01.01.2013.</t>
  </si>
  <si>
    <t>Prethodna godina 01.01.-31.03.2012.</t>
  </si>
  <si>
    <t>Tekuća godina 01.01.-31.03.2013.</t>
  </si>
  <si>
    <t>U prvom kvartalu 2013. godine nije  bilo izmjena računovodstvenih politika, važnije promjene kapitala, kao ni značajnijih financijskih transakcija u odnosu na prethodno izvještajno razdoblje koje bi iziskivale dodatna pojašnjenja kroz računovodstvene bilješke.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</si>
</sst>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8" xfId="15" applyFont="1" applyBorder="1" applyAlignment="1">
      <alignment horizontal="left"/>
      <protection/>
    </xf>
    <xf numFmtId="0" fontId="3" fillId="0" borderId="29" xfId="15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4" fillId="24" borderId="27" xfId="54" applyFill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0" fontId="2" fillId="24" borderId="27" xfId="15" applyFont="1" applyFill="1" applyBorder="1" applyAlignment="1" applyProtection="1">
      <alignment horizontal="left" vertical="center"/>
      <protection hidden="1" locked="0"/>
    </xf>
    <xf numFmtId="0" fontId="3" fillId="0" borderId="28" xfId="15" applyFont="1" applyBorder="1" applyAlignment="1">
      <alignment horizontal="left" vertical="center"/>
      <protection/>
    </xf>
    <xf numFmtId="0" fontId="3" fillId="0" borderId="29" xfId="15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wrapText="1"/>
      <protection hidden="1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15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24" borderId="27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5" applyNumberFormat="1" applyFont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24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15" applyNumberFormat="1" applyFont="1" applyBorder="1" applyAlignment="1" applyProtection="1">
      <alignment horizontal="left" vertical="center"/>
      <protection hidden="1" locked="0"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0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212</v>
      </c>
      <c r="B1" s="174"/>
      <c r="C1" s="17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9" t="s">
        <v>213</v>
      </c>
      <c r="B2" s="150"/>
      <c r="C2" s="150"/>
      <c r="D2" s="151"/>
      <c r="E2" s="118" t="s">
        <v>291</v>
      </c>
      <c r="F2" s="12"/>
      <c r="G2" s="13" t="s">
        <v>214</v>
      </c>
      <c r="H2" s="118" t="s">
        <v>292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2" t="s">
        <v>280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5" t="s">
        <v>215</v>
      </c>
      <c r="B6" s="156"/>
      <c r="C6" s="157" t="s">
        <v>293</v>
      </c>
      <c r="D6" s="15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59" t="s">
        <v>216</v>
      </c>
      <c r="B8" s="160"/>
      <c r="C8" s="147" t="s">
        <v>294</v>
      </c>
      <c r="D8" s="14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4" t="s">
        <v>217</v>
      </c>
      <c r="B10" s="145"/>
      <c r="C10" s="147" t="s">
        <v>295</v>
      </c>
      <c r="D10" s="148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6"/>
      <c r="B11" s="14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5" t="s">
        <v>218</v>
      </c>
      <c r="B12" s="156"/>
      <c r="C12" s="161" t="s">
        <v>296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5" t="s">
        <v>219</v>
      </c>
      <c r="B14" s="156"/>
      <c r="C14" s="164">
        <v>20000</v>
      </c>
      <c r="D14" s="165"/>
      <c r="E14" s="16"/>
      <c r="F14" s="166" t="s">
        <v>297</v>
      </c>
      <c r="G14" s="167"/>
      <c r="H14" s="167"/>
      <c r="I14" s="16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5" t="s">
        <v>220</v>
      </c>
      <c r="B16" s="156"/>
      <c r="C16" s="169" t="s">
        <v>298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5" t="s">
        <v>221</v>
      </c>
      <c r="B18" s="156"/>
      <c r="C18" s="141" t="s">
        <v>299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5" t="s">
        <v>222</v>
      </c>
      <c r="B20" s="156"/>
      <c r="C20" s="141" t="s">
        <v>300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5" t="s">
        <v>223</v>
      </c>
      <c r="B22" s="156"/>
      <c r="C22" s="119">
        <v>98</v>
      </c>
      <c r="D22" s="169" t="s">
        <v>297</v>
      </c>
      <c r="E22" s="138"/>
      <c r="F22" s="139"/>
      <c r="G22" s="155"/>
      <c r="H22" s="14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5" t="s">
        <v>224</v>
      </c>
      <c r="B24" s="156"/>
      <c r="C24" s="119">
        <v>19</v>
      </c>
      <c r="D24" s="169" t="s">
        <v>301</v>
      </c>
      <c r="E24" s="138"/>
      <c r="F24" s="138"/>
      <c r="G24" s="139"/>
      <c r="H24" s="51" t="s">
        <v>225</v>
      </c>
      <c r="I24" s="120">
        <v>181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281</v>
      </c>
      <c r="I25" s="96"/>
      <c r="J25" s="10"/>
      <c r="K25" s="10"/>
      <c r="L25" s="10"/>
    </row>
    <row r="26" spans="1:12" ht="12.75">
      <c r="A26" s="155" t="s">
        <v>226</v>
      </c>
      <c r="B26" s="156"/>
      <c r="C26" s="121" t="s">
        <v>302</v>
      </c>
      <c r="D26" s="25"/>
      <c r="E26" s="33"/>
      <c r="F26" s="24"/>
      <c r="G26" s="137" t="s">
        <v>227</v>
      </c>
      <c r="H26" s="156"/>
      <c r="I26" s="122" t="s">
        <v>303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29" t="s">
        <v>228</v>
      </c>
      <c r="B28" s="130"/>
      <c r="C28" s="131"/>
      <c r="D28" s="131"/>
      <c r="E28" s="132" t="s">
        <v>229</v>
      </c>
      <c r="F28" s="133"/>
      <c r="G28" s="133"/>
      <c r="H28" s="134" t="s">
        <v>230</v>
      </c>
      <c r="I28" s="135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36"/>
      <c r="B30" s="126"/>
      <c r="C30" s="126"/>
      <c r="D30" s="127"/>
      <c r="E30" s="136"/>
      <c r="F30" s="126"/>
      <c r="G30" s="126"/>
      <c r="H30" s="157"/>
      <c r="I30" s="158"/>
      <c r="J30" s="10"/>
      <c r="K30" s="10"/>
      <c r="L30" s="10"/>
    </row>
    <row r="31" spans="1:12" ht="12.75">
      <c r="A31" s="92"/>
      <c r="B31" s="22"/>
      <c r="C31" s="21"/>
      <c r="D31" s="128"/>
      <c r="E31" s="128"/>
      <c r="F31" s="128"/>
      <c r="G31" s="172"/>
      <c r="H31" s="16"/>
      <c r="I31" s="99"/>
      <c r="J31" s="10"/>
      <c r="K31" s="10"/>
      <c r="L31" s="10"/>
    </row>
    <row r="32" spans="1:12" ht="12.75">
      <c r="A32" s="136"/>
      <c r="B32" s="126"/>
      <c r="C32" s="126"/>
      <c r="D32" s="127"/>
      <c r="E32" s="136"/>
      <c r="F32" s="126"/>
      <c r="G32" s="126"/>
      <c r="H32" s="157"/>
      <c r="I32" s="15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36"/>
      <c r="B34" s="126"/>
      <c r="C34" s="126"/>
      <c r="D34" s="127"/>
      <c r="E34" s="136"/>
      <c r="F34" s="126"/>
      <c r="G34" s="126"/>
      <c r="H34" s="157"/>
      <c r="I34" s="15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36"/>
      <c r="B36" s="126"/>
      <c r="C36" s="126"/>
      <c r="D36" s="127"/>
      <c r="E36" s="136"/>
      <c r="F36" s="126"/>
      <c r="G36" s="126"/>
      <c r="H36" s="157"/>
      <c r="I36" s="158"/>
      <c r="J36" s="10"/>
      <c r="K36" s="10"/>
      <c r="L36" s="10"/>
    </row>
    <row r="37" spans="1:12" ht="12.75">
      <c r="A37" s="101"/>
      <c r="B37" s="30"/>
      <c r="C37" s="175"/>
      <c r="D37" s="176"/>
      <c r="E37" s="16"/>
      <c r="F37" s="175"/>
      <c r="G37" s="176"/>
      <c r="H37" s="16"/>
      <c r="I37" s="93"/>
      <c r="J37" s="10"/>
      <c r="K37" s="10"/>
      <c r="L37" s="10"/>
    </row>
    <row r="38" spans="1:12" ht="12.75">
      <c r="A38" s="136"/>
      <c r="B38" s="126"/>
      <c r="C38" s="126"/>
      <c r="D38" s="127"/>
      <c r="E38" s="136"/>
      <c r="F38" s="126"/>
      <c r="G38" s="126"/>
      <c r="H38" s="157"/>
      <c r="I38" s="15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36"/>
      <c r="B40" s="126"/>
      <c r="C40" s="126"/>
      <c r="D40" s="127"/>
      <c r="E40" s="136"/>
      <c r="F40" s="126"/>
      <c r="G40" s="126"/>
      <c r="H40" s="157"/>
      <c r="I40" s="15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4" t="s">
        <v>231</v>
      </c>
      <c r="B44" s="183"/>
      <c r="C44" s="157"/>
      <c r="D44" s="158"/>
      <c r="E44" s="26"/>
      <c r="F44" s="166"/>
      <c r="G44" s="126"/>
      <c r="H44" s="126"/>
      <c r="I44" s="127"/>
      <c r="J44" s="10"/>
      <c r="K44" s="10"/>
      <c r="L44" s="10"/>
    </row>
    <row r="45" spans="1:12" ht="12.75">
      <c r="A45" s="101"/>
      <c r="B45" s="30"/>
      <c r="C45" s="175"/>
      <c r="D45" s="176"/>
      <c r="E45" s="16"/>
      <c r="F45" s="175"/>
      <c r="G45" s="177"/>
      <c r="H45" s="35"/>
      <c r="I45" s="105"/>
      <c r="J45" s="10"/>
      <c r="K45" s="10"/>
      <c r="L45" s="10"/>
    </row>
    <row r="46" spans="1:12" ht="12.75">
      <c r="A46" s="144" t="s">
        <v>232</v>
      </c>
      <c r="B46" s="183"/>
      <c r="C46" s="169" t="s">
        <v>304</v>
      </c>
      <c r="D46" s="178"/>
      <c r="E46" s="178"/>
      <c r="F46" s="178"/>
      <c r="G46" s="178"/>
      <c r="H46" s="178"/>
      <c r="I46" s="178"/>
      <c r="J46" s="10"/>
      <c r="K46" s="10"/>
      <c r="L46" s="10"/>
    </row>
    <row r="47" spans="1:12" ht="12.75">
      <c r="A47" s="92"/>
      <c r="B47" s="22"/>
      <c r="C47" s="21" t="s">
        <v>233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4" t="s">
        <v>234</v>
      </c>
      <c r="B48" s="183"/>
      <c r="C48" s="184" t="s">
        <v>305</v>
      </c>
      <c r="D48" s="185"/>
      <c r="E48" s="186"/>
      <c r="F48" s="16"/>
      <c r="G48" s="51" t="s">
        <v>235</v>
      </c>
      <c r="H48" s="187" t="s">
        <v>306</v>
      </c>
      <c r="I48" s="18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4" t="s">
        <v>221</v>
      </c>
      <c r="B50" s="183"/>
      <c r="C50" s="191" t="s">
        <v>299</v>
      </c>
      <c r="D50" s="192"/>
      <c r="E50" s="192"/>
      <c r="F50" s="192"/>
      <c r="G50" s="192"/>
      <c r="H50" s="192"/>
      <c r="I50" s="18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5" t="s">
        <v>236</v>
      </c>
      <c r="B52" s="156"/>
      <c r="C52" s="187" t="s">
        <v>307</v>
      </c>
      <c r="D52" s="192"/>
      <c r="E52" s="192"/>
      <c r="F52" s="192"/>
      <c r="G52" s="192"/>
      <c r="H52" s="192"/>
      <c r="I52" s="171"/>
      <c r="J52" s="10"/>
      <c r="K52" s="10"/>
      <c r="L52" s="10"/>
    </row>
    <row r="53" spans="1:12" ht="12.75">
      <c r="A53" s="106"/>
      <c r="B53" s="20"/>
      <c r="C53" s="179" t="s">
        <v>237</v>
      </c>
      <c r="D53" s="179"/>
      <c r="E53" s="179"/>
      <c r="F53" s="179"/>
      <c r="G53" s="179"/>
      <c r="H53" s="179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3" t="s">
        <v>238</v>
      </c>
      <c r="C55" s="194"/>
      <c r="D55" s="194"/>
      <c r="E55" s="19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5" t="s">
        <v>270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6"/>
      <c r="B57" s="195" t="s">
        <v>271</v>
      </c>
      <c r="C57" s="196"/>
      <c r="D57" s="196"/>
      <c r="E57" s="196"/>
      <c r="F57" s="196"/>
      <c r="G57" s="196"/>
      <c r="H57" s="196"/>
      <c r="I57" s="108"/>
      <c r="J57" s="10"/>
      <c r="K57" s="10"/>
      <c r="L57" s="10"/>
    </row>
    <row r="58" spans="1:12" ht="12.75">
      <c r="A58" s="106"/>
      <c r="B58" s="195" t="s">
        <v>272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6"/>
      <c r="B59" s="195" t="s">
        <v>273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239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240</v>
      </c>
      <c r="F62" s="33"/>
      <c r="G62" s="180" t="s">
        <v>241</v>
      </c>
      <c r="H62" s="181"/>
      <c r="I62" s="182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9"/>
      <c r="H63" s="190"/>
      <c r="I63" s="117"/>
      <c r="J63" s="10"/>
      <c r="K63" s="10"/>
      <c r="L63" s="10"/>
    </row>
  </sheetData>
  <sheetProtection/>
  <protectedRanges>
    <protectedRange sqref="E2 H2 A34:D34 A32:I32 A30:I30 I24" name="Range1"/>
    <protectedRange sqref="C6:D6" name="Range1_1"/>
    <protectedRange sqref="C8:D8" name="Range1_1_1"/>
    <protectedRange sqref="C10:D10" name="Range1_2"/>
    <protectedRange sqref="C14:D14" name="Range1_3_1"/>
    <protectedRange sqref="F14:I14" name="Range1_1_2"/>
    <protectedRange sqref="C16:I16" name="Range1_5"/>
    <protectedRange sqref="C18:I18" name="Range1_2_1"/>
    <protectedRange sqref="C20:I20" name="Range1_3_1_1"/>
    <protectedRange sqref="C22" name="Range1_4"/>
    <protectedRange sqref="D22:F22" name="Range1_7"/>
    <protectedRange sqref="C24" name="Range1_6_1"/>
    <protectedRange sqref="D24:G24" name="Range1_4_2"/>
    <protectedRange sqref="C26" name="Range1_8"/>
    <protectedRange sqref="I26" name="Range1_9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K113" sqref="K113"/>
    </sheetView>
  </sheetViews>
  <sheetFormatPr defaultColWidth="9.140625" defaultRowHeight="12.75"/>
  <cols>
    <col min="1" max="9" width="9.140625" style="52" customWidth="1"/>
    <col min="10" max="10" width="9.5742187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35" t="s">
        <v>126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284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285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33.75">
      <c r="A4" s="240" t="s">
        <v>40</v>
      </c>
      <c r="B4" s="241"/>
      <c r="C4" s="241"/>
      <c r="D4" s="241"/>
      <c r="E4" s="241"/>
      <c r="F4" s="241"/>
      <c r="G4" s="241"/>
      <c r="H4" s="242"/>
      <c r="I4" s="58" t="s">
        <v>242</v>
      </c>
      <c r="J4" s="59" t="s">
        <v>289</v>
      </c>
      <c r="K4" s="60" t="s">
        <v>290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41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11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202672592</v>
      </c>
      <c r="K8" s="53">
        <f>K9+K16+K26+K35+K39</f>
        <v>201728810</v>
      </c>
    </row>
    <row r="9" spans="1:11" ht="12.75">
      <c r="A9" s="211" t="s">
        <v>169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70332</v>
      </c>
      <c r="K9" s="53">
        <f>SUM(K10:K15)</f>
        <v>46908</v>
      </c>
    </row>
    <row r="10" spans="1:11" ht="12.75">
      <c r="A10" s="211" t="s">
        <v>89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12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70332</v>
      </c>
      <c r="K11" s="7">
        <v>46908</v>
      </c>
    </row>
    <row r="12" spans="1:11" ht="12.75">
      <c r="A12" s="211" t="s">
        <v>90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172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173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174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170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202291944</v>
      </c>
      <c r="K16" s="53">
        <f>SUM(K17:K25)</f>
        <v>201371586</v>
      </c>
    </row>
    <row r="17" spans="1:11" ht="12.75">
      <c r="A17" s="211" t="s">
        <v>175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137089765</v>
      </c>
      <c r="K17" s="7">
        <v>137089765</v>
      </c>
    </row>
    <row r="18" spans="1:11" ht="12.75">
      <c r="A18" s="211" t="s">
        <v>211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f>149131202-96095542-1147642-2111661</f>
        <v>49776357</v>
      </c>
      <c r="K18" s="7">
        <f>149131202-96704359-1163684-2140742-2</f>
        <v>49122415</v>
      </c>
    </row>
    <row r="19" spans="1:11" ht="12.75">
      <c r="A19" s="211" t="s">
        <v>176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f>24682612-1329011-100281-5275678-1404010-7354725-3607630-450996-1</f>
        <v>5160280</v>
      </c>
      <c r="K19" s="7">
        <f>24703437-1363606-102165-5330982-1419932-7378305-3692735-465660</f>
        <v>4950052</v>
      </c>
    </row>
    <row r="20" spans="1:11" ht="12.75">
      <c r="A20" s="211" t="s">
        <v>22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f>19192221-1067533-31284-14952209-1729914-245111-460358-1</f>
        <v>705811</v>
      </c>
      <c r="K20" s="7">
        <f>19192221-1093344-31451-14971578-1730522-254113-461590</f>
        <v>649623</v>
      </c>
    </row>
    <row r="21" spans="1:11" ht="12.75">
      <c r="A21" s="211" t="s">
        <v>23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49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50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1035974</v>
      </c>
      <c r="K23" s="7">
        <v>1035974</v>
      </c>
    </row>
    <row r="24" spans="1:11" ht="12.75">
      <c r="A24" s="211" t="s">
        <v>51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361833</v>
      </c>
      <c r="K24" s="7">
        <v>361833</v>
      </c>
    </row>
    <row r="25" spans="1:11" ht="12.75">
      <c r="A25" s="211" t="s">
        <v>52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8161924</v>
      </c>
      <c r="K25" s="7">
        <v>8161924</v>
      </c>
    </row>
    <row r="26" spans="1:11" ht="12.75">
      <c r="A26" s="211" t="s">
        <v>154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310316</v>
      </c>
      <c r="K26" s="53">
        <f>SUM(K27:K34)</f>
        <v>310316</v>
      </c>
    </row>
    <row r="27" spans="1:11" ht="12.75">
      <c r="A27" s="211" t="s">
        <v>53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54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55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310316</v>
      </c>
      <c r="K29" s="7">
        <v>310316</v>
      </c>
    </row>
    <row r="30" spans="1:11" ht="12.75">
      <c r="A30" s="211" t="s">
        <v>60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61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62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56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147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148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57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58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59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149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4" t="s">
        <v>204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5930603</v>
      </c>
      <c r="K40" s="53">
        <f>K41+K49+K56+K64</f>
        <v>2765312</v>
      </c>
    </row>
    <row r="41" spans="1:11" ht="12.75">
      <c r="A41" s="211" t="s">
        <v>77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882615</v>
      </c>
      <c r="K41" s="53">
        <f>SUM(K42:K48)</f>
        <v>829024</v>
      </c>
    </row>
    <row r="42" spans="1:11" ht="12.75">
      <c r="A42" s="211" t="s">
        <v>92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f>880863-10151</f>
        <v>870712</v>
      </c>
      <c r="K42" s="7">
        <f>827272-10151</f>
        <v>817121</v>
      </c>
    </row>
    <row r="43" spans="1:11" ht="12.75">
      <c r="A43" s="211" t="s">
        <v>93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63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64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1752</v>
      </c>
      <c r="K45" s="7">
        <v>1752</v>
      </c>
    </row>
    <row r="46" spans="1:11" ht="12.75">
      <c r="A46" s="211" t="s">
        <v>65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10151</v>
      </c>
      <c r="K46" s="7">
        <v>10151</v>
      </c>
    </row>
    <row r="47" spans="1:11" ht="12.75">
      <c r="A47" s="211" t="s">
        <v>66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67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78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2283152</v>
      </c>
      <c r="K49" s="53">
        <f>SUM(K50:K55)</f>
        <v>1687510</v>
      </c>
    </row>
    <row r="50" spans="1:11" ht="12.75">
      <c r="A50" s="211" t="s">
        <v>164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165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579937</v>
      </c>
      <c r="K51" s="7">
        <v>219981</v>
      </c>
    </row>
    <row r="52" spans="1:11" ht="12.75">
      <c r="A52" s="211" t="s">
        <v>166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167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9942</v>
      </c>
      <c r="K53" s="7">
        <v>42947</v>
      </c>
    </row>
    <row r="54" spans="1:11" ht="12.75">
      <c r="A54" s="211" t="s">
        <v>8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f>141325+21373+207497</f>
        <v>370195</v>
      </c>
      <c r="K54" s="7">
        <f>109018+156843+2</f>
        <v>265863</v>
      </c>
    </row>
    <row r="55" spans="1:11" ht="12.75">
      <c r="A55" s="211" t="s">
        <v>9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1323078</v>
      </c>
      <c r="K55" s="7">
        <v>1158719</v>
      </c>
    </row>
    <row r="56" spans="1:11" ht="12.75">
      <c r="A56" s="211" t="s">
        <v>79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1000</v>
      </c>
      <c r="K56" s="53">
        <f>SUM(K57:K63)</f>
        <v>0</v>
      </c>
    </row>
    <row r="57" spans="1:11" ht="12.75">
      <c r="A57" s="211" t="s">
        <v>53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54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206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60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61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62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1000</v>
      </c>
      <c r="K62" s="7">
        <v>0</v>
      </c>
    </row>
    <row r="63" spans="1:11" ht="12.75">
      <c r="A63" s="211" t="s">
        <v>32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171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2763836</v>
      </c>
      <c r="K64" s="7">
        <v>248778</v>
      </c>
    </row>
    <row r="65" spans="1:11" ht="12.75">
      <c r="A65" s="214" t="s">
        <v>37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575890</v>
      </c>
      <c r="K65" s="7">
        <f>1002454+32294.67</f>
        <v>1034748.67</v>
      </c>
    </row>
    <row r="66" spans="1:11" ht="12.75">
      <c r="A66" s="214" t="s">
        <v>205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209179085</v>
      </c>
      <c r="K66" s="53">
        <f>K7+K8+K40+K65</f>
        <v>205528870.67</v>
      </c>
    </row>
    <row r="67" spans="1:11" ht="12.75">
      <c r="A67" s="226" t="s">
        <v>68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108026196</v>
      </c>
      <c r="K67" s="8">
        <v>108026196</v>
      </c>
    </row>
    <row r="68" spans="1:11" ht="12.75">
      <c r="A68" s="203" t="s">
        <v>39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155</v>
      </c>
      <c r="B69" s="208"/>
      <c r="C69" s="208"/>
      <c r="D69" s="208"/>
      <c r="E69" s="208"/>
      <c r="F69" s="208"/>
      <c r="G69" s="208"/>
      <c r="H69" s="225"/>
      <c r="I69" s="3">
        <v>62</v>
      </c>
      <c r="J69" s="54">
        <f>J70+J71+J72+J78+J79+J82+J85</f>
        <v>122814133</v>
      </c>
      <c r="K69" s="54">
        <f>K70+K71+K72+K78+K79+K82+K85</f>
        <v>114392174</v>
      </c>
    </row>
    <row r="70" spans="1:11" ht="12.75">
      <c r="A70" s="211" t="s">
        <v>116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103144000</v>
      </c>
      <c r="K70" s="7">
        <v>103144000</v>
      </c>
    </row>
    <row r="71" spans="1:11" ht="12.75">
      <c r="A71" s="211" t="s">
        <v>117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118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9808842</v>
      </c>
      <c r="K72" s="53">
        <f>K73+K74-K75+K76+K77</f>
        <v>9808842</v>
      </c>
    </row>
    <row r="73" spans="1:11" ht="12.75">
      <c r="A73" s="211" t="s">
        <v>119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216263</v>
      </c>
      <c r="K73" s="7">
        <v>216263</v>
      </c>
    </row>
    <row r="74" spans="1:11" ht="12.75">
      <c r="A74" s="211" t="s">
        <v>120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108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109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110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9592579</v>
      </c>
      <c r="K77" s="7">
        <v>9592579</v>
      </c>
    </row>
    <row r="78" spans="1:11" ht="12.75">
      <c r="A78" s="211" t="s">
        <v>111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27164505</v>
      </c>
      <c r="K78" s="7">
        <v>27164505</v>
      </c>
    </row>
    <row r="79" spans="1:11" ht="12.75">
      <c r="A79" s="211" t="s">
        <v>202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-15094469</v>
      </c>
      <c r="K79" s="53">
        <f>K80-K81</f>
        <v>-17303214</v>
      </c>
    </row>
    <row r="80" spans="1:11" ht="12.75">
      <c r="A80" s="222" t="s">
        <v>138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139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15094469</v>
      </c>
      <c r="K81" s="7">
        <v>17303214</v>
      </c>
    </row>
    <row r="82" spans="1:11" ht="12.75">
      <c r="A82" s="211" t="s">
        <v>203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-2208745</v>
      </c>
      <c r="K82" s="53">
        <f>K83-K84</f>
        <v>-8421959</v>
      </c>
    </row>
    <row r="83" spans="1:11" ht="12.75">
      <c r="A83" s="222" t="s">
        <v>140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/>
    </row>
    <row r="84" spans="1:11" ht="12.75">
      <c r="A84" s="222" t="s">
        <v>141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2208745</v>
      </c>
      <c r="K84" s="7">
        <v>8421959</v>
      </c>
    </row>
    <row r="85" spans="1:11" ht="12.75">
      <c r="A85" s="211" t="s">
        <v>142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14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245760</v>
      </c>
      <c r="K86" s="53">
        <f>SUM(K87:K89)</f>
        <v>245760</v>
      </c>
    </row>
    <row r="87" spans="1:11" ht="12.75">
      <c r="A87" s="211" t="s">
        <v>104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105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106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245760</v>
      </c>
      <c r="K89" s="7">
        <v>245760</v>
      </c>
    </row>
    <row r="90" spans="1:11" ht="12.75">
      <c r="A90" s="214" t="s">
        <v>15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63122390</v>
      </c>
      <c r="K90" s="53">
        <f>SUM(K91:K99)</f>
        <v>63746317</v>
      </c>
    </row>
    <row r="91" spans="1:11" ht="12.75">
      <c r="A91" s="211" t="s">
        <v>107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38299926</v>
      </c>
      <c r="K91" s="7">
        <f>6849083+9294768+528635+4329640+11612427+6084284+97550</f>
        <v>38796387</v>
      </c>
    </row>
    <row r="92" spans="1:11" ht="12.75">
      <c r="A92" s="211" t="s">
        <v>207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24822464</v>
      </c>
      <c r="K93" s="7">
        <f>63746317-38796387</f>
        <v>24949930</v>
      </c>
    </row>
    <row r="94" spans="1:11" ht="12.75">
      <c r="A94" s="211" t="s">
        <v>208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209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210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71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69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70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16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22674675</v>
      </c>
      <c r="K100" s="53">
        <f>SUM(K101:K112)</f>
        <v>25830777</v>
      </c>
    </row>
    <row r="101" spans="1:11" ht="12.75">
      <c r="A101" s="211" t="s">
        <v>107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1966055</v>
      </c>
      <c r="K101" s="7">
        <f>288725+88147+686206+34828+518423+692412</f>
        <v>2308741</v>
      </c>
    </row>
    <row r="102" spans="1:11" ht="12.75">
      <c r="A102" s="211" t="s">
        <v>207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15281131</v>
      </c>
      <c r="K103" s="7">
        <f>18365801+2416777-2308741</f>
        <v>18473837</v>
      </c>
    </row>
    <row r="104" spans="1:11" ht="12.75">
      <c r="A104" s="211" t="s">
        <v>208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945064</v>
      </c>
      <c r="K104" s="7">
        <v>1382255</v>
      </c>
    </row>
    <row r="105" spans="1:11" ht="12.75">
      <c r="A105" s="211" t="s">
        <v>209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806677</v>
      </c>
      <c r="K105" s="7">
        <v>598515</v>
      </c>
    </row>
    <row r="106" spans="1:11" ht="12.75">
      <c r="A106" s="211" t="s">
        <v>210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71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72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f>300016+1794681</f>
        <v>2094697</v>
      </c>
      <c r="K108" s="7">
        <f>38364+1570915</f>
        <v>1609279</v>
      </c>
    </row>
    <row r="109" spans="1:11" ht="12.75">
      <c r="A109" s="211" t="s">
        <v>73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f>6570+459462+78757+14513+582939+452364+17044-40998</f>
        <v>1570651</v>
      </c>
      <c r="K109" s="7">
        <f>6641+407712+66132+13603+515462+402026+14598+20976</f>
        <v>1447150</v>
      </c>
    </row>
    <row r="110" spans="1:11" ht="12.75">
      <c r="A110" s="211" t="s">
        <v>76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74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75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f>10000+400</f>
        <v>10400</v>
      </c>
      <c r="K112" s="7">
        <f>10500+500</f>
        <v>11000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322127</v>
      </c>
      <c r="K113" s="7">
        <f>1281548+32294.67</f>
        <v>1313842.67</v>
      </c>
    </row>
    <row r="114" spans="1:11" ht="12.75">
      <c r="A114" s="214" t="s">
        <v>20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209179085</v>
      </c>
      <c r="K114" s="53">
        <f>K69+K86+K90+K100+K113</f>
        <v>205528870.67</v>
      </c>
    </row>
    <row r="115" spans="1:11" ht="12.75">
      <c r="A115" s="200" t="s">
        <v>38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>
        <v>108026196</v>
      </c>
      <c r="K115" s="8">
        <v>108026196</v>
      </c>
    </row>
    <row r="116" spans="1:11" ht="12.75">
      <c r="A116" s="203" t="s">
        <v>274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150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6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7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275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allowBlank="1" sqref="A1:I65536 K1:IV65536 J12:J16 J1:J10 J26:J28 J30:J41 J47:J50 J56:J61 J66 J68:J69 J71:J72 J79:J80 J82:J83 J85:J88 J90 J94:J100 J114 J116:J65536"/>
    <dataValidation type="whole" operator="greaterThanOrEqual" allowBlank="1" showInputMessage="1" showErrorMessage="1" errorTitle="Pogrešan unos" error="Mogu se unijeti samo cjelobrojne pozitivne vrijednosti." sqref="J11 J17:J25 J29 J42:J46 J51:J55 J62:J65 J67 J70 J73:J77 J81 J84 J89 J91:J93 J101:J113 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K56" sqref="K56:M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5" t="s">
        <v>127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286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40</v>
      </c>
      <c r="B4" s="258"/>
      <c r="C4" s="258"/>
      <c r="D4" s="258"/>
      <c r="E4" s="258"/>
      <c r="F4" s="258"/>
      <c r="G4" s="258"/>
      <c r="H4" s="258"/>
      <c r="I4" s="58" t="s">
        <v>243</v>
      </c>
      <c r="J4" s="259" t="s">
        <v>288</v>
      </c>
      <c r="K4" s="259"/>
      <c r="L4" s="259" t="s">
        <v>287</v>
      </c>
      <c r="M4" s="259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8"/>
      <c r="J5" s="60" t="s">
        <v>278</v>
      </c>
      <c r="K5" s="60" t="s">
        <v>279</v>
      </c>
      <c r="L5" s="60" t="s">
        <v>278</v>
      </c>
      <c r="M5" s="60" t="s">
        <v>279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21</v>
      </c>
      <c r="B7" s="208"/>
      <c r="C7" s="208"/>
      <c r="D7" s="208"/>
      <c r="E7" s="208"/>
      <c r="F7" s="208"/>
      <c r="G7" s="208"/>
      <c r="H7" s="225"/>
      <c r="I7" s="3">
        <v>111</v>
      </c>
      <c r="J7" s="54">
        <f>SUM(J8:J9)</f>
        <v>245499</v>
      </c>
      <c r="K7" s="54">
        <f>SUM(K8:K9)</f>
        <v>245499</v>
      </c>
      <c r="L7" s="54">
        <f>SUM(L8:L9)</f>
        <v>171336</v>
      </c>
      <c r="M7" s="54">
        <f>SUM(M8:M9)</f>
        <v>171336</v>
      </c>
    </row>
    <row r="8" spans="1:13" ht="12.75">
      <c r="A8" s="214" t="s">
        <v>125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f>104175+11343</f>
        <v>115518</v>
      </c>
      <c r="K8" s="7">
        <v>115518</v>
      </c>
      <c r="L8" s="7">
        <f>22201+34016+1</f>
        <v>56218</v>
      </c>
      <c r="M8" s="7">
        <f>56217+1</f>
        <v>56218</v>
      </c>
    </row>
    <row r="9" spans="1:13" ht="12.75">
      <c r="A9" s="214" t="s">
        <v>80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f>72222+277+57482</f>
        <v>129981</v>
      </c>
      <c r="K9" s="7">
        <v>129981</v>
      </c>
      <c r="L9" s="7">
        <f>114+76993+125+37886</f>
        <v>115118</v>
      </c>
      <c r="M9" s="7">
        <v>115118</v>
      </c>
    </row>
    <row r="10" spans="1:13" ht="12.75">
      <c r="A10" s="214" t="s">
        <v>10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3">
        <f>J11+J12+J16+J20+J21+J22+J25+J26</f>
        <v>7403093</v>
      </c>
      <c r="K10" s="53">
        <f>K11+K12+K16+K20+K21+K22+K25+K26</f>
        <v>7403093</v>
      </c>
      <c r="L10" s="53">
        <f>L11+L12+L16+L20+L21+L22+L25+L26</f>
        <v>7203729</v>
      </c>
      <c r="M10" s="53">
        <f>M11+M12+M16+M20+M21+M22+M25+M26</f>
        <v>7203729</v>
      </c>
    </row>
    <row r="11" spans="1:13" ht="12.75">
      <c r="A11" s="214" t="s">
        <v>81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17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3">
        <f>SUM(J13:J15)</f>
        <v>1042468</v>
      </c>
      <c r="K12" s="53">
        <f>SUM(K13:K15)</f>
        <v>1042468</v>
      </c>
      <c r="L12" s="53">
        <f>SUM(L13:L15)</f>
        <v>1077412</v>
      </c>
      <c r="M12" s="53">
        <f>SUM(M13:M15)</f>
        <v>1077412</v>
      </c>
    </row>
    <row r="13" spans="1:13" ht="12.75">
      <c r="A13" s="211" t="s">
        <v>121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210557</v>
      </c>
      <c r="K13" s="7">
        <v>210557</v>
      </c>
      <c r="L13" s="7">
        <v>220539</v>
      </c>
      <c r="M13" s="7">
        <v>220539</v>
      </c>
    </row>
    <row r="14" spans="1:13" ht="12.75">
      <c r="A14" s="211" t="s">
        <v>122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210</v>
      </c>
      <c r="K14" s="7">
        <v>210</v>
      </c>
      <c r="L14" s="7"/>
      <c r="M14" s="7"/>
    </row>
    <row r="15" spans="1:13" ht="12.75">
      <c r="A15" s="211" t="s">
        <v>42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f>230599+601102</f>
        <v>831701</v>
      </c>
      <c r="K15" s="7">
        <v>831701</v>
      </c>
      <c r="L15" s="7">
        <f>361612+495261</f>
        <v>856873</v>
      </c>
      <c r="M15" s="7">
        <v>856873</v>
      </c>
    </row>
    <row r="16" spans="1:13" ht="12.75">
      <c r="A16" s="214" t="s">
        <v>18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3">
        <f>SUM(J17:J19)</f>
        <v>4910711</v>
      </c>
      <c r="K16" s="53">
        <f>SUM(K17:K19)</f>
        <v>4910711</v>
      </c>
      <c r="L16" s="53">
        <f>SUM(L17:L19)</f>
        <v>4811169</v>
      </c>
      <c r="M16" s="53">
        <f>SUM(M17:M19)</f>
        <v>4811169</v>
      </c>
    </row>
    <row r="17" spans="1:13" ht="12.75">
      <c r="A17" s="211" t="s">
        <v>43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2887466</v>
      </c>
      <c r="K17" s="7">
        <v>2887466</v>
      </c>
      <c r="L17" s="7">
        <f>2853255+41814</f>
        <v>2895069</v>
      </c>
      <c r="M17" s="7">
        <v>2895069</v>
      </c>
    </row>
    <row r="18" spans="1:13" ht="12.75">
      <c r="A18" s="211" t="s">
        <v>44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1299506</v>
      </c>
      <c r="K18" s="7">
        <v>1299506</v>
      </c>
      <c r="L18" s="7">
        <v>1277864</v>
      </c>
      <c r="M18" s="7">
        <v>1277864</v>
      </c>
    </row>
    <row r="19" spans="1:13" ht="12.75">
      <c r="A19" s="211" t="s">
        <v>45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723739</v>
      </c>
      <c r="K19" s="7">
        <v>723739</v>
      </c>
      <c r="L19" s="7">
        <v>638236</v>
      </c>
      <c r="M19" s="7">
        <v>638236</v>
      </c>
    </row>
    <row r="20" spans="1:13" ht="12.75">
      <c r="A20" s="214" t="s">
        <v>82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1014038</v>
      </c>
      <c r="K20" s="7">
        <v>1014038</v>
      </c>
      <c r="L20" s="7">
        <v>964607</v>
      </c>
      <c r="M20" s="7">
        <v>964607</v>
      </c>
    </row>
    <row r="21" spans="1:13" ht="12.75">
      <c r="A21" s="214" t="s">
        <v>83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f>99792+123572</f>
        <v>223364</v>
      </c>
      <c r="K21" s="7">
        <v>223364</v>
      </c>
      <c r="L21" s="7">
        <f>242394+106822</f>
        <v>349216</v>
      </c>
      <c r="M21" s="7">
        <v>349216</v>
      </c>
    </row>
    <row r="22" spans="1:13" ht="12.75">
      <c r="A22" s="214" t="s">
        <v>19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112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113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14" t="s">
        <v>84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36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212512</v>
      </c>
      <c r="K26" s="7">
        <v>212512</v>
      </c>
      <c r="L26" s="7">
        <v>1325</v>
      </c>
      <c r="M26" s="7">
        <v>1325</v>
      </c>
    </row>
    <row r="27" spans="1:13" ht="12.75">
      <c r="A27" s="214" t="s">
        <v>177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3">
        <f>SUM(J28:J32)</f>
        <v>239827</v>
      </c>
      <c r="K27" s="53">
        <f>SUM(K28:K32)</f>
        <v>239827</v>
      </c>
      <c r="L27" s="53">
        <f>SUM(L28:L32)</f>
        <v>12115</v>
      </c>
      <c r="M27" s="53">
        <f>SUM(M28:M32)</f>
        <v>12115</v>
      </c>
    </row>
    <row r="28" spans="1:13" ht="12.75">
      <c r="A28" s="214" t="s">
        <v>191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/>
      <c r="K28" s="7"/>
      <c r="L28" s="7"/>
      <c r="M28" s="7"/>
    </row>
    <row r="29" spans="1:13" ht="12.75">
      <c r="A29" s="214" t="s">
        <v>128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239827</v>
      </c>
      <c r="K29" s="7">
        <v>239827</v>
      </c>
      <c r="L29" s="7">
        <v>12115</v>
      </c>
      <c r="M29" s="7">
        <v>12115</v>
      </c>
    </row>
    <row r="30" spans="1:13" ht="12.75">
      <c r="A30" s="214" t="s">
        <v>114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187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115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178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3">
        <f>SUM(J34:J37)</f>
        <v>4615794</v>
      </c>
      <c r="K33" s="53">
        <f>SUM(K34:K37)</f>
        <v>4615794</v>
      </c>
      <c r="L33" s="53">
        <f>SUM(L34:L37)</f>
        <v>1401681</v>
      </c>
      <c r="M33" s="53">
        <f>SUM(M34:M37)</f>
        <v>1401681</v>
      </c>
    </row>
    <row r="34" spans="1:13" ht="12.75">
      <c r="A34" s="214" t="s">
        <v>47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599323</v>
      </c>
      <c r="K34" s="7">
        <v>599323</v>
      </c>
      <c r="L34" s="7">
        <v>846819</v>
      </c>
      <c r="M34" s="7">
        <v>846819</v>
      </c>
    </row>
    <row r="35" spans="1:13" ht="12.75">
      <c r="A35" s="214" t="s">
        <v>46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390255</v>
      </c>
      <c r="K35" s="7">
        <v>390255</v>
      </c>
      <c r="L35" s="7">
        <f>1401681-1067-846819</f>
        <v>553795</v>
      </c>
      <c r="M35" s="7">
        <v>553795</v>
      </c>
    </row>
    <row r="36" spans="1:13" ht="12.75">
      <c r="A36" s="214" t="s">
        <v>188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48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3626216</v>
      </c>
      <c r="K37" s="7">
        <v>3626216</v>
      </c>
      <c r="L37" s="7">
        <v>1067</v>
      </c>
      <c r="M37" s="7">
        <v>1067</v>
      </c>
    </row>
    <row r="38" spans="1:13" ht="12.75">
      <c r="A38" s="214" t="s">
        <v>159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160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189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190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179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3">
        <f>J7+J27+J38+J40</f>
        <v>485326</v>
      </c>
      <c r="K42" s="53">
        <f>K7+K27+K38+K40</f>
        <v>485326</v>
      </c>
      <c r="L42" s="53">
        <f>L7+L27+L38+L40</f>
        <v>183451</v>
      </c>
      <c r="M42" s="53">
        <f>M7+M27+M38+M40</f>
        <v>183451</v>
      </c>
    </row>
    <row r="43" spans="1:13" ht="12.75">
      <c r="A43" s="214" t="s">
        <v>180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3">
        <f>J10+J33+J39+J41</f>
        <v>12018887</v>
      </c>
      <c r="K43" s="53">
        <f>K10+K33+K39+K41</f>
        <v>12018887</v>
      </c>
      <c r="L43" s="53">
        <f>L10+L33+L39+L41</f>
        <v>8605410</v>
      </c>
      <c r="M43" s="53">
        <f>M10+M33+M39+M41</f>
        <v>8605410</v>
      </c>
    </row>
    <row r="44" spans="1:13" ht="12.75">
      <c r="A44" s="214" t="s">
        <v>200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>
        <f>J42-J43</f>
        <v>-11533561</v>
      </c>
      <c r="K44" s="53">
        <f>K42-K43</f>
        <v>-11533561</v>
      </c>
      <c r="L44" s="53">
        <f>L42-L43</f>
        <v>-8421959</v>
      </c>
      <c r="M44" s="53">
        <f>M42-M43</f>
        <v>-8421959</v>
      </c>
    </row>
    <row r="45" spans="1:13" ht="12.75">
      <c r="A45" s="222" t="s">
        <v>182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2" t="s">
        <v>183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11533561</v>
      </c>
      <c r="K46" s="53">
        <f>IF(K43&gt;K42,K43-K42,0)</f>
        <v>11533561</v>
      </c>
      <c r="L46" s="53">
        <f>IF(L43&gt;L42,L43-L42,0)</f>
        <v>8421959</v>
      </c>
      <c r="M46" s="53">
        <f>IF(M43&gt;M42,M43-M42,0)</f>
        <v>8421959</v>
      </c>
    </row>
    <row r="47" spans="1:13" ht="12.75">
      <c r="A47" s="214" t="s">
        <v>181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</row>
    <row r="48" spans="1:13" ht="12.75">
      <c r="A48" s="214" t="s">
        <v>201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>
        <f>J44-J47</f>
        <v>-11533561</v>
      </c>
      <c r="K48" s="53">
        <f>K44-K47</f>
        <v>-11533561</v>
      </c>
      <c r="L48" s="53">
        <f>L44-L47</f>
        <v>-8421959</v>
      </c>
      <c r="M48" s="53">
        <f>M44-M47</f>
        <v>-8421959</v>
      </c>
    </row>
    <row r="49" spans="1:13" ht="12.75">
      <c r="A49" s="222" t="s">
        <v>156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4" t="s">
        <v>184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1">
        <f>IF(J48&lt;0,-J48,0)</f>
        <v>11533561</v>
      </c>
      <c r="K50" s="61">
        <f>IF(K48&lt;0,-K48,0)</f>
        <v>11533561</v>
      </c>
      <c r="L50" s="61">
        <f>IF(L48&lt;0,-L48,0)</f>
        <v>8421959</v>
      </c>
      <c r="M50" s="61">
        <f>IF(M48&lt;0,-M48,0)</f>
        <v>8421959</v>
      </c>
    </row>
    <row r="51" spans="1:13" ht="12.75" customHeight="1">
      <c r="A51" s="203" t="s">
        <v>276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151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51" t="s">
        <v>198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199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153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168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+J48</f>
        <v>-11533561</v>
      </c>
      <c r="K56" s="6">
        <f>+K48</f>
        <v>-11533561</v>
      </c>
      <c r="L56" s="6">
        <f>+L48</f>
        <v>-8421959</v>
      </c>
      <c r="M56" s="6">
        <f>+M48</f>
        <v>-8421959</v>
      </c>
    </row>
    <row r="57" spans="1:13" ht="12.75">
      <c r="A57" s="214" t="s">
        <v>185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4" t="s">
        <v>192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193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31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194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195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196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197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186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157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4" t="s">
        <v>158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-11533561</v>
      </c>
      <c r="K67" s="61">
        <f>K56+K66</f>
        <v>-11533561</v>
      </c>
      <c r="L67" s="61">
        <f>L56+L66</f>
        <v>-8421959</v>
      </c>
      <c r="M67" s="61">
        <f>M56+M66</f>
        <v>-8421959</v>
      </c>
    </row>
    <row r="68" spans="1:13" ht="12.75" customHeight="1">
      <c r="A68" s="247" t="s">
        <v>277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152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198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199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7">
      <selection activeCell="K15" sqref="K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161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286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7" t="s">
        <v>308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56.25">
      <c r="A4" s="270" t="s">
        <v>40</v>
      </c>
      <c r="B4" s="270"/>
      <c r="C4" s="270"/>
      <c r="D4" s="270"/>
      <c r="E4" s="270"/>
      <c r="F4" s="270"/>
      <c r="G4" s="270"/>
      <c r="H4" s="270"/>
      <c r="I4" s="66" t="s">
        <v>243</v>
      </c>
      <c r="J4" s="67" t="s">
        <v>288</v>
      </c>
      <c r="K4" s="67" t="s">
        <v>287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0">
        <v>2</v>
      </c>
      <c r="J5" s="71" t="s">
        <v>247</v>
      </c>
      <c r="K5" s="71" t="s">
        <v>248</v>
      </c>
    </row>
    <row r="6" spans="1:11" ht="12.75">
      <c r="A6" s="203" t="s">
        <v>129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163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2092499</v>
      </c>
      <c r="K7" s="7">
        <f>15376+1142889+486864</f>
        <v>1645129</v>
      </c>
    </row>
    <row r="8" spans="1:11" ht="12.75">
      <c r="A8" s="211" t="s">
        <v>94</v>
      </c>
      <c r="B8" s="212"/>
      <c r="C8" s="212"/>
      <c r="D8" s="212"/>
      <c r="E8" s="212"/>
      <c r="F8" s="212"/>
      <c r="G8" s="212"/>
      <c r="H8" s="212"/>
      <c r="I8" s="1">
        <v>2</v>
      </c>
      <c r="J8" s="7"/>
      <c r="K8" s="7"/>
    </row>
    <row r="9" spans="1:11" ht="12.75">
      <c r="A9" s="211" t="s">
        <v>95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7432</v>
      </c>
      <c r="K9" s="7">
        <v>41333</v>
      </c>
    </row>
    <row r="10" spans="1:11" ht="12.75">
      <c r="A10" s="211" t="s">
        <v>96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58621</v>
      </c>
      <c r="K10" s="7">
        <v>119130</v>
      </c>
    </row>
    <row r="11" spans="1:11" ht="12.75">
      <c r="A11" s="211" t="s">
        <v>97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398378</v>
      </c>
      <c r="K11" s="7">
        <f>100714+123691-41333-97391</f>
        <v>85681</v>
      </c>
    </row>
    <row r="12" spans="1:11" ht="12.75">
      <c r="A12" s="214" t="s">
        <v>162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2556930</v>
      </c>
      <c r="K12" s="53">
        <f>SUM(K7:K11)</f>
        <v>1891273</v>
      </c>
    </row>
    <row r="13" spans="1:11" ht="12.75">
      <c r="A13" s="211" t="s">
        <v>98</v>
      </c>
      <c r="B13" s="212"/>
      <c r="C13" s="212"/>
      <c r="D13" s="212"/>
      <c r="E13" s="212"/>
      <c r="F13" s="212"/>
      <c r="G13" s="212"/>
      <c r="H13" s="212"/>
      <c r="I13" s="1">
        <v>7</v>
      </c>
      <c r="J13" s="7">
        <f>1297273-16922</f>
        <v>1280351</v>
      </c>
      <c r="K13" s="7">
        <f>212379+1121424+111367-95251</f>
        <v>1349919</v>
      </c>
    </row>
    <row r="14" spans="1:11" ht="12.75">
      <c r="A14" s="211" t="s">
        <v>99</v>
      </c>
      <c r="B14" s="212"/>
      <c r="C14" s="212"/>
      <c r="D14" s="212"/>
      <c r="E14" s="212"/>
      <c r="F14" s="212"/>
      <c r="G14" s="212"/>
      <c r="H14" s="212"/>
      <c r="I14" s="1">
        <v>8</v>
      </c>
      <c r="J14" s="7">
        <v>5295559</v>
      </c>
      <c r="K14" s="7">
        <f>5304608+30016+413000</f>
        <v>5747624</v>
      </c>
    </row>
    <row r="15" spans="1:11" ht="12.75">
      <c r="A15" s="211" t="s">
        <v>100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16922</v>
      </c>
      <c r="K15" s="7">
        <f>37080+45830+6267+6074</f>
        <v>95251</v>
      </c>
    </row>
    <row r="16" spans="1:11" ht="12.75">
      <c r="A16" s="211" t="s">
        <v>101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1091</v>
      </c>
      <c r="K16" s="7">
        <v>0</v>
      </c>
    </row>
    <row r="17" spans="1:11" ht="12.75">
      <c r="A17" s="211" t="s">
        <v>102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64178</v>
      </c>
      <c r="K17" s="7">
        <f>1625+45232</f>
        <v>46857</v>
      </c>
    </row>
    <row r="18" spans="1:11" ht="12.75">
      <c r="A18" s="211" t="s">
        <v>103</v>
      </c>
      <c r="B18" s="212"/>
      <c r="C18" s="212"/>
      <c r="D18" s="212"/>
      <c r="E18" s="212"/>
      <c r="F18" s="212"/>
      <c r="G18" s="212"/>
      <c r="H18" s="212"/>
      <c r="I18" s="1">
        <v>12</v>
      </c>
      <c r="J18" s="7">
        <v>73385</v>
      </c>
      <c r="K18" s="7">
        <f>91569</f>
        <v>91569</v>
      </c>
    </row>
    <row r="19" spans="1:11" ht="12.75">
      <c r="A19" s="214" t="s">
        <v>33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6731486</v>
      </c>
      <c r="K19" s="53">
        <f>SUM(K13:K18)</f>
        <v>7331220</v>
      </c>
    </row>
    <row r="20" spans="1:11" ht="12.75">
      <c r="A20" s="214" t="s">
        <v>85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86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4174556</v>
      </c>
      <c r="K21" s="53">
        <f>IF(K19&gt;K12,K19-K12,0)</f>
        <v>5439947</v>
      </c>
    </row>
    <row r="22" spans="1:11" ht="12.75">
      <c r="A22" s="203" t="s">
        <v>130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135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136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282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283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137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91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7">
        <v>4570407</v>
      </c>
      <c r="K31" s="7">
        <v>3726620</v>
      </c>
    </row>
    <row r="32" spans="1:11" ht="12.75">
      <c r="A32" s="214" t="s">
        <v>34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4570407</v>
      </c>
      <c r="K32" s="53">
        <f>SUM(K29:K31)</f>
        <v>3726620</v>
      </c>
    </row>
    <row r="33" spans="1:11" ht="12.75">
      <c r="A33" s="214" t="s">
        <v>87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88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4570407</v>
      </c>
      <c r="K34" s="53">
        <f>IF(K32&gt;K28,K32-K28,0)</f>
        <v>3726620</v>
      </c>
    </row>
    <row r="35" spans="1:11" ht="12.75">
      <c r="A35" s="203" t="s">
        <v>131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143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24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4758233</v>
      </c>
      <c r="K37" s="7">
        <v>6486616</v>
      </c>
    </row>
    <row r="38" spans="1:11" ht="12.75">
      <c r="A38" s="211" t="s">
        <v>25</v>
      </c>
      <c r="B38" s="212"/>
      <c r="C38" s="212"/>
      <c r="D38" s="212"/>
      <c r="E38" s="212"/>
      <c r="F38" s="212"/>
      <c r="G38" s="212"/>
      <c r="H38" s="212"/>
      <c r="I38" s="1">
        <v>30</v>
      </c>
      <c r="J38" s="7">
        <v>3567</v>
      </c>
      <c r="K38" s="7">
        <f>534+164359</f>
        <v>164893</v>
      </c>
    </row>
    <row r="39" spans="1:11" ht="12.75">
      <c r="A39" s="214" t="s">
        <v>35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4761800</v>
      </c>
      <c r="K39" s="53">
        <f>SUM(K36:K38)</f>
        <v>6651509</v>
      </c>
    </row>
    <row r="40" spans="1:11" ht="12.75">
      <c r="A40" s="211" t="s">
        <v>26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90000</v>
      </c>
      <c r="K40" s="7">
        <v>0</v>
      </c>
    </row>
    <row r="41" spans="1:11" ht="12.75">
      <c r="A41" s="211" t="s">
        <v>27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/>
    </row>
    <row r="42" spans="1:11" ht="12.75">
      <c r="A42" s="211" t="s">
        <v>28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29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/>
      <c r="K43" s="7"/>
    </row>
    <row r="44" spans="1:11" ht="12.75">
      <c r="A44" s="211" t="s">
        <v>30</v>
      </c>
      <c r="B44" s="212"/>
      <c r="C44" s="212"/>
      <c r="D44" s="212"/>
      <c r="E44" s="212"/>
      <c r="F44" s="212"/>
      <c r="G44" s="212"/>
      <c r="H44" s="212"/>
      <c r="I44" s="1">
        <v>36</v>
      </c>
      <c r="J44" s="7">
        <v>32939</v>
      </c>
      <c r="K44" s="7">
        <v>0</v>
      </c>
    </row>
    <row r="45" spans="1:11" ht="12.75">
      <c r="A45" s="214" t="s">
        <v>123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122939</v>
      </c>
      <c r="K45" s="53">
        <f>SUM(K40:K44)</f>
        <v>0</v>
      </c>
    </row>
    <row r="46" spans="1:11" ht="12.75">
      <c r="A46" s="214" t="s">
        <v>133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4638861</v>
      </c>
      <c r="K46" s="53">
        <f>IF(K39&gt;K45,K39-K45,0)</f>
        <v>6651509</v>
      </c>
    </row>
    <row r="47" spans="1:11" ht="12.75">
      <c r="A47" s="214" t="s">
        <v>134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124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13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4106102</v>
      </c>
      <c r="K49" s="53">
        <f>IF(K21-K20+K34-K33+K47-K46&gt;0,K21-K20+K34-K33+K47-K46,0)</f>
        <v>2515058</v>
      </c>
    </row>
    <row r="50" spans="1:11" ht="12.75">
      <c r="A50" s="214" t="s">
        <v>132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>
        <v>5286803</v>
      </c>
      <c r="K50" s="7">
        <v>2763836</v>
      </c>
    </row>
    <row r="51" spans="1:11" ht="12.75">
      <c r="A51" s="214" t="s">
        <v>144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/>
      <c r="K51" s="7"/>
    </row>
    <row r="52" spans="1:11" ht="12.75">
      <c r="A52" s="214" t="s">
        <v>145</v>
      </c>
      <c r="B52" s="215"/>
      <c r="C52" s="215"/>
      <c r="D52" s="215"/>
      <c r="E52" s="215"/>
      <c r="F52" s="215"/>
      <c r="G52" s="215"/>
      <c r="H52" s="215"/>
      <c r="I52" s="1">
        <v>44</v>
      </c>
      <c r="J52" s="7">
        <v>4106102</v>
      </c>
      <c r="K52" s="7">
        <f>+K49</f>
        <v>2515058</v>
      </c>
    </row>
    <row r="53" spans="1:11" ht="12.75">
      <c r="A53" s="226" t="s">
        <v>146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1180701</v>
      </c>
      <c r="K53" s="61">
        <f>K50+K51-K52</f>
        <v>248778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6" sqref="K6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7" width="9.140625" style="74" customWidth="1"/>
    <col min="8" max="8" width="1.28515625" style="74" customWidth="1"/>
    <col min="9" max="10" width="9.140625" style="74" customWidth="1"/>
    <col min="11" max="11" width="9.57421875" style="74" bestFit="1" customWidth="1"/>
    <col min="12" max="16384" width="9.140625" style="74" customWidth="1"/>
  </cols>
  <sheetData>
    <row r="1" spans="1:12" ht="12.75">
      <c r="A1" s="286" t="s">
        <v>245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3"/>
    </row>
    <row r="2" spans="1:12" ht="15.75">
      <c r="A2" s="42"/>
      <c r="B2" s="72"/>
      <c r="C2" s="271" t="s">
        <v>246</v>
      </c>
      <c r="D2" s="271"/>
      <c r="E2" s="75" t="s">
        <v>309</v>
      </c>
      <c r="F2" s="43" t="s">
        <v>214</v>
      </c>
      <c r="G2" s="272" t="s">
        <v>292</v>
      </c>
      <c r="H2" s="273"/>
      <c r="I2" s="72"/>
      <c r="J2" s="72"/>
      <c r="K2" s="72"/>
      <c r="L2" s="76"/>
    </row>
    <row r="3" spans="1:11" ht="45">
      <c r="A3" s="274" t="s">
        <v>40</v>
      </c>
      <c r="B3" s="274"/>
      <c r="C3" s="274"/>
      <c r="D3" s="274"/>
      <c r="E3" s="274"/>
      <c r="F3" s="274"/>
      <c r="G3" s="274"/>
      <c r="H3" s="274"/>
      <c r="I3" s="79" t="s">
        <v>269</v>
      </c>
      <c r="J3" s="80" t="s">
        <v>310</v>
      </c>
      <c r="K3" s="80" t="s">
        <v>311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2">
        <v>2</v>
      </c>
      <c r="J4" s="81" t="s">
        <v>247</v>
      </c>
      <c r="K4" s="81" t="s">
        <v>248</v>
      </c>
    </row>
    <row r="5" spans="1:11" ht="12.75">
      <c r="A5" s="276" t="s">
        <v>249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103144000</v>
      </c>
      <c r="K5" s="45">
        <v>103144000</v>
      </c>
    </row>
    <row r="6" spans="1:11" ht="12.75">
      <c r="A6" s="276" t="s">
        <v>250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251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9808842</v>
      </c>
      <c r="K7" s="46">
        <v>9808842</v>
      </c>
    </row>
    <row r="8" spans="1:11" ht="12.75">
      <c r="A8" s="276" t="s">
        <v>252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-15094469</v>
      </c>
      <c r="K8" s="46">
        <v>-17303214</v>
      </c>
    </row>
    <row r="9" spans="1:11" ht="12.75">
      <c r="A9" s="276" t="s">
        <v>253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-11533561</v>
      </c>
      <c r="K9" s="46">
        <v>-8421959</v>
      </c>
    </row>
    <row r="10" spans="1:11" ht="12.75">
      <c r="A10" s="276" t="s">
        <v>254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27164505</v>
      </c>
      <c r="K10" s="46">
        <v>27164505</v>
      </c>
    </row>
    <row r="11" spans="1:11" ht="12.75">
      <c r="A11" s="276" t="s">
        <v>255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256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257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258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7">
        <f>SUM(J5:J13)</f>
        <v>113489317</v>
      </c>
      <c r="K14" s="77">
        <f>SUM(K5:K13)</f>
        <v>114392174</v>
      </c>
    </row>
    <row r="15" spans="1:11" ht="12.75">
      <c r="A15" s="276" t="s">
        <v>259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260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261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262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263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264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265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266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267</v>
      </c>
      <c r="B24" s="283"/>
      <c r="C24" s="283"/>
      <c r="D24" s="283"/>
      <c r="E24" s="283"/>
      <c r="F24" s="283"/>
      <c r="G24" s="283"/>
      <c r="H24" s="283"/>
      <c r="I24" s="48">
        <v>19</v>
      </c>
      <c r="J24" s="78"/>
      <c r="K24" s="78"/>
    </row>
    <row r="25" spans="1:11" ht="30" customHeight="1">
      <c r="A25" s="284" t="s">
        <v>268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244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312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Marijanav</cp:lastModifiedBy>
  <cp:lastPrinted>2011-03-28T11:17:39Z</cp:lastPrinted>
  <dcterms:created xsi:type="dcterms:W3CDTF">2008-10-17T11:51:54Z</dcterms:created>
  <dcterms:modified xsi:type="dcterms:W3CDTF">2013-04-29T12:34:33Z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