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4"/>
  </bookViews>
  <sheets>
    <sheet name="OPĆI PODACI" sheetId="1" r:id="rId1"/>
    <sheet name="Bilanca" sheetId="2" r:id="rId2"/>
    <sheet name="RDG" sheetId="3" r:id="rId3"/>
    <sheet name="NT_D" sheetId="4" r:id="rId4"/>
    <sheet name="PK" sheetId="5" r:id="rId5"/>
  </sheets>
  <definedNames>
    <definedName name="_xlnm.Print_Area" localSheetId="1">'Bilanca'!$A$7:$K$120</definedName>
    <definedName name="_xlnm.Print_Area" localSheetId="0">'OPĆI PODACI'!$A$1:$I$63</definedName>
    <definedName name="_xlnm.Print_Area" localSheetId="4">'PK'!$A$1:$K$25</definedName>
    <definedName name="_xlnm.Print_Titles" localSheetId="1">'Bilanca'!$1:$6</definedName>
  </definedNames>
  <calcPr fullCalcOnLoad="1"/>
</workbook>
</file>

<file path=xl/sharedStrings.xml><?xml version="1.0" encoding="utf-8"?>
<sst xmlns="http://schemas.openxmlformats.org/spreadsheetml/2006/main" count="341" uniqueCount="314">
  <si>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</si>
  <si>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</si>
  <si>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</si>
  <si>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</si>
  <si>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</si>
  <si>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</si>
  <si>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</si>
  <si>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</si>
  <si>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</si>
  <si>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</si>
  <si>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</si>
  <si>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</si>
  <si>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</si>
  <si>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</si>
  <si>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</si>
  <si>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</si>
  <si>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</si>
  <si>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</si>
  <si>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</si>
  <si>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</si>
  <si>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</si>
  <si>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</si>
  <si>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</si>
  <si>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</si>
  <si>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</si>
  <si>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</si>
  <si>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</si>
  <si>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</si>
  <si>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</si>
  <si>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</si>
  <si>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</si>
  <si>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</si>
  <si>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</si>
  <si>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</si>
  <si>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</si>
  <si>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</si>
  <si>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</si>
  <si>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</si>
  <si>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</si>
  <si>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</si>
  <si>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</si>
  <si>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</si>
  <si>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</si>
  <si>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</si>
  <si>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</si>
  <si>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</si>
  <si>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</si>
  <si>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</si>
  <si>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</si>
  <si>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</si>
  <si>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</si>
  <si>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</si>
  <si>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</si>
  <si>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</si>
  <si>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</si>
  <si>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</si>
  <si>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</si>
  <si>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</si>
  <si>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</si>
  <si>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</si>
  <si>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</si>
  <si>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</si>
  <si>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</si>
  <si>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</si>
  <si>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</si>
  <si>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</si>
  <si>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</si>
  <si>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</si>
  <si>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</si>
  <si>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</si>
  <si>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</si>
  <si>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</si>
  <si>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</si>
  <si>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</si>
  <si>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</si>
  <si>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</si>
  <si>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</si>
  <si>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</si>
  <si>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</si>
  <si>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</si>
  <si>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</si>
  <si>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</si>
  <si>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</si>
  <si>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</si>
  <si>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</si>
  <si>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</si>
  <si>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</si>
  <si>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</si>
  <si>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</si>
  <si>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</si>
  <si>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</si>
  <si>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</si>
  <si>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</si>
  <si>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</si>
  <si>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</si>
  <si>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</si>
  <si>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</si>
  <si>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</si>
  <si>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</si>
  <si>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</si>
  <si>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</si>
  <si>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</si>
  <si>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</si>
  <si>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</si>
  <si>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</si>
  <si>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</si>
  <si>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</si>
  <si>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</si>
  <si>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</si>
  <si>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</si>
  <si>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</si>
  <si>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</si>
  <si>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</si>
  <si>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</si>
  <si>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</si>
  <si>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</si>
  <si>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</si>
  <si>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</si>
  <si>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</si>
  <si>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</si>
  <si>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</si>
  <si>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</si>
  <si>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</si>
  <si>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</si>
  <si>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</si>
  <si>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</si>
  <si>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</si>
  <si>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</si>
  <si>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</si>
  <si>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</si>
  <si>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</si>
  <si>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</si>
  <si>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</si>
  <si>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</si>
  <si>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</si>
  <si>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</si>
  <si>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</si>
  <si>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</si>
  <si>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</si>
  <si>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</si>
  <si>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</si>
  <si>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</si>
  <si>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</si>
  <si>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</si>
  <si>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</si>
  <si>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</si>
  <si>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</si>
  <si>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</si>
  <si>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</si>
  <si>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</si>
  <si>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</si>
  <si>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</si>
  <si>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</si>
  <si>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</si>
  <si>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</si>
  <si>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</si>
  <si>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</si>
  <si>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</si>
  <si>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</si>
  <si>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</si>
  <si>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</si>
  <si>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</si>
  <si>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</si>
  <si>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</si>
  <si>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</si>
  <si>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</si>
  <si>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</si>
  <si>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</si>
  <si>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</si>
  <si>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</si>
  <si>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</si>
  <si>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</si>
  <si>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</si>
  <si>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</si>
  <si>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</si>
  <si>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</si>
  <si>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</si>
  <si>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</si>
  <si>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</si>
  <si>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</si>
  <si>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</si>
  <si>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</si>
  <si>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</si>
  <si>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</si>
  <si>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</si>
  <si>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</si>
  <si>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</si>
  <si>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</si>
  <si>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</si>
  <si>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</si>
  <si>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</si>
  <si>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</si>
  <si>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</si>
  <si>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</si>
  <si>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</si>
  <si>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</si>
  <si>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</si>
  <si>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</si>
  <si>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</si>
  <si>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</si>
  <si>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</si>
  <si>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</si>
  <si>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</si>
  <si>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</si>
  <si>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</si>
  <si>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</si>
  <si>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</si>
  <si>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</si>
  <si>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</si>
  <si>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</si>
  <si>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</si>
  <si>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</si>
  <si>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</si>
  <si>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</si>
  <si>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</si>
  <si>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</si>
  <si>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</si>
  <si>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</si>
  <si>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</si>
  <si>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</si>
  <si>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</si>
  <si>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</si>
  <si>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</si>
  <si>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</si>
  <si>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</si>
  <si>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</si>
  <si>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</si>
  <si>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</si>
  <si>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</si>
  <si>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</si>
  <si>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</si>
  <si>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</si>
  <si>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</si>
  <si>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</si>
  <si>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</si>
  <si>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</si>
  <si>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</si>
  <si>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</si>
  <si>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</si>
  <si>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</si>
  <si>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</si>
  <si>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</si>
  <si>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</si>
  <si>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</si>
  <si>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</si>
  <si>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</si>
  <si>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</si>
  <si>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</si>
  <si>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</si>
  <si>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</si>
  <si>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</si>
  <si>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</si>
  <si>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</si>
  <si>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</si>
  <si>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</si>
  <si>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</si>
  <si>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</si>
  <si>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</si>
  <si>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</si>
  <si>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</si>
  <si>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</si>
  <si>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</si>
  <si>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</si>
  <si>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</si>
  <si>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</si>
  <si>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</si>
  <si>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</si>
  <si>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</si>
  <si>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</si>
  <si>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</si>
  <si>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</si>
  <si>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</si>
  <si>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</si>
  <si>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</si>
  <si>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</si>
  <si>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</si>
  <si>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</si>
  <si>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</si>
  <si>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Tromjesečni financijski izvještaj poduzetnika TFI-POD</t>
  </si>
  <si>
    <t>(krajem izvještajnog razdoblja)</t>
  </si>
  <si>
    <t>Tekuće razdoblje</t>
  </si>
  <si>
    <t xml:space="preserve">     3. Novčani primici od kamata</t>
  </si>
  <si>
    <t xml:space="preserve">     4. Novčani primici od dividendi</t>
  </si>
  <si>
    <t>01.01.</t>
  </si>
  <si>
    <t>30.06.2012.</t>
  </si>
  <si>
    <t>03440885</t>
  </si>
  <si>
    <t>060008247</t>
  </si>
  <si>
    <t>88557173997</t>
  </si>
  <si>
    <t>HOTELI MAESTRAL d.d.</t>
  </si>
  <si>
    <t>DUBROVNIK</t>
  </si>
  <si>
    <t>Ćira Carića 3</t>
  </si>
  <si>
    <t>hotelimaestral@hotelimaestral.com</t>
  </si>
  <si>
    <t>www.hotelimaestral</t>
  </si>
  <si>
    <t>DUBROVAČKO-NERETVANSKA</t>
  </si>
  <si>
    <t>NE</t>
  </si>
  <si>
    <t>5510</t>
  </si>
  <si>
    <t>Marijana Zuanić</t>
  </si>
  <si>
    <t>020/433-600</t>
  </si>
  <si>
    <t>020/435-656</t>
  </si>
  <si>
    <t>mr.sc. Obuljen Davorko</t>
  </si>
  <si>
    <t>stanje na dan 30.06.2012.</t>
  </si>
  <si>
    <t>Prethodno razdoblje 31.12.2011.</t>
  </si>
  <si>
    <t xml:space="preserve">Prethodno razdoblje </t>
  </si>
  <si>
    <t>Kumulativno 01.01.-30.06.2011</t>
  </si>
  <si>
    <t>Tromjesečje 01.04.-30.06.2011</t>
  </si>
  <si>
    <t>Kumulativno 01.01.-30.06.2012</t>
  </si>
  <si>
    <t>Tromjesečje 01.04.-30.06.2012</t>
  </si>
  <si>
    <t>Tekuće razdoblje 30.06.2012</t>
  </si>
  <si>
    <t>Prethodno razdoblje 01.01.-30.06.2011</t>
  </si>
  <si>
    <t>Tekuće razdoblje 01.01.-30.06.2012</t>
  </si>
  <si>
    <t>u razdoblju 01.01.2012. do 30.06.2012.</t>
  </si>
  <si>
    <t>01.01.2012.</t>
  </si>
  <si>
    <t>Obveznik: HOTELI MAESTRAL d.d.</t>
  </si>
  <si>
    <t>Obveznik: HOTELI MAESTRL d.d.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</si>
</sst>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35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Gray">
        <fgColor indexed="22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 vertical="top"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23" fillId="3" borderId="0" applyNumberFormat="0" applyBorder="0" applyAlignment="0" applyProtection="0"/>
    <xf numFmtId="0" fontId="27" fillId="20" borderId="1" applyNumberFormat="0" applyAlignment="0" applyProtection="0"/>
    <xf numFmtId="0" fontId="2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5" fillId="7" borderId="1" applyNumberFormat="0" applyAlignment="0" applyProtection="0"/>
    <xf numFmtId="0" fontId="28" fillId="0" borderId="6" applyNumberFormat="0" applyFill="0" applyAlignment="0" applyProtection="0"/>
    <xf numFmtId="0" fontId="24" fillId="22" borderId="0" applyNumberFormat="0" applyBorder="0" applyAlignment="0" applyProtection="0"/>
    <xf numFmtId="0" fontId="9" fillId="0" borderId="0">
      <alignment vertical="top"/>
      <protection/>
    </xf>
    <xf numFmtId="0" fontId="0" fillId="23" borderId="7" applyNumberFormat="0" applyFont="0" applyAlignment="0" applyProtection="0"/>
    <xf numFmtId="0" fontId="3" fillId="0" borderId="0">
      <alignment/>
      <protection/>
    </xf>
    <xf numFmtId="0" fontId="26" fillId="20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18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290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8" applyFont="1" applyAlignment="1">
      <alignment/>
      <protection/>
    </xf>
    <xf numFmtId="0" fontId="0" fillId="0" borderId="0" xfId="58" applyFont="1" applyAlignment="1">
      <alignment/>
      <protection/>
    </xf>
    <xf numFmtId="0" fontId="3" fillId="0" borderId="16" xfId="58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horizontal="center" vertical="center" wrapText="1"/>
      <protection hidden="1"/>
    </xf>
    <xf numFmtId="0" fontId="3" fillId="0" borderId="0" xfId="58" applyFont="1" applyBorder="1" applyAlignment="1" applyProtection="1">
      <alignment/>
      <protection hidden="1"/>
    </xf>
    <xf numFmtId="0" fontId="12" fillId="0" borderId="0" xfId="58" applyFont="1" applyBorder="1" applyAlignment="1" applyProtection="1">
      <alignment horizontal="right" vertical="center" wrapText="1"/>
      <protection hidden="1"/>
    </xf>
    <xf numFmtId="0" fontId="12" fillId="0" borderId="0" xfId="58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Border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top"/>
      <protection hidden="1"/>
    </xf>
    <xf numFmtId="0" fontId="3" fillId="0" borderId="0" xfId="58" applyFont="1" applyBorder="1" applyAlignment="1" applyProtection="1">
      <alignment horizontal="right"/>
      <protection hidden="1"/>
    </xf>
    <xf numFmtId="0" fontId="2" fillId="0" borderId="0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/>
      <protection hidden="1"/>
    </xf>
    <xf numFmtId="0" fontId="2" fillId="0" borderId="0" xfId="58" applyFont="1" applyBorder="1" applyAlignment="1" applyProtection="1">
      <alignment vertical="top"/>
      <protection hidden="1"/>
    </xf>
    <xf numFmtId="0" fontId="3" fillId="0" borderId="0" xfId="58" applyFont="1" applyFill="1" applyBorder="1" applyAlignment="1" applyProtection="1">
      <alignment/>
      <protection hidden="1"/>
    </xf>
    <xf numFmtId="0" fontId="3" fillId="0" borderId="0" xfId="58" applyFont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vertical="top" wrapText="1"/>
      <protection hidden="1"/>
    </xf>
    <xf numFmtId="0" fontId="3" fillId="0" borderId="0" xfId="58" applyFont="1" applyBorder="1" applyAlignment="1" applyProtection="1">
      <alignment wrapText="1"/>
      <protection hidden="1"/>
    </xf>
    <xf numFmtId="0" fontId="3" fillId="0" borderId="0" xfId="58" applyFont="1" applyBorder="1" applyAlignment="1" applyProtection="1">
      <alignment horizontal="right" vertical="top"/>
      <protection hidden="1"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3" fillId="0" borderId="0" xfId="58" applyFont="1" applyBorder="1" applyAlignment="1">
      <alignment/>
      <protection/>
    </xf>
    <xf numFmtId="0" fontId="3" fillId="0" borderId="0" xfId="58" applyFont="1" applyBorder="1" applyAlignment="1" applyProtection="1">
      <alignment horizontal="left" vertical="top"/>
      <protection hidden="1"/>
    </xf>
    <xf numFmtId="0" fontId="3" fillId="0" borderId="17" xfId="58" applyFont="1" applyBorder="1" applyAlignment="1" applyProtection="1">
      <alignment/>
      <protection hidden="1"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18" xfId="58" applyFont="1" applyBorder="1" applyAlignment="1" applyProtection="1">
      <alignment/>
      <protection hidden="1"/>
    </xf>
    <xf numFmtId="0" fontId="3" fillId="0" borderId="18" xfId="58" applyFont="1" applyBorder="1" applyAlignment="1">
      <alignment/>
      <protection/>
    </xf>
    <xf numFmtId="0" fontId="10" fillId="0" borderId="0" xfId="63" applyFont="1" applyFill="1" applyBorder="1" applyAlignment="1">
      <alignment horizontal="center" vertical="center" wrapText="1"/>
      <protection/>
    </xf>
    <xf numFmtId="0" fontId="7" fillId="0" borderId="0" xfId="63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63" applyFont="1" applyBorder="1" applyAlignment="1" applyProtection="1">
      <alignment vertical="center"/>
      <protection hidden="1"/>
    </xf>
    <xf numFmtId="0" fontId="3" fillId="0" borderId="0" xfId="58" applyFont="1" applyBorder="1" applyAlignment="1" applyProtection="1">
      <alignment horizontal="right" wrapText="1"/>
      <protection hidden="1"/>
    </xf>
    <xf numFmtId="0" fontId="3" fillId="0" borderId="0" xfId="58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3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8" applyFont="1" applyBorder="1" applyAlignment="1">
      <alignment/>
      <protection/>
    </xf>
    <xf numFmtId="0" fontId="3" fillId="0" borderId="24" xfId="58" applyFont="1" applyBorder="1" applyAlignment="1">
      <alignment/>
      <protection/>
    </xf>
    <xf numFmtId="0" fontId="3" fillId="0" borderId="25" xfId="58" applyFont="1" applyFill="1" applyBorder="1" applyAlignment="1" applyProtection="1">
      <alignment horizontal="left" vertical="center" wrapText="1"/>
      <protection hidden="1"/>
    </xf>
    <xf numFmtId="0" fontId="3" fillId="0" borderId="16" xfId="58" applyFont="1" applyFill="1" applyBorder="1" applyAlignment="1" applyProtection="1">
      <alignment vertical="center"/>
      <protection hidden="1"/>
    </xf>
    <xf numFmtId="0" fontId="3" fillId="0" borderId="25" xfId="58" applyFont="1" applyBorder="1" applyAlignment="1" applyProtection="1">
      <alignment horizontal="left" vertical="center" wrapText="1"/>
      <protection hidden="1"/>
    </xf>
    <xf numFmtId="0" fontId="3" fillId="0" borderId="16" xfId="58" applyFont="1" applyBorder="1" applyAlignment="1" applyProtection="1">
      <alignment/>
      <protection hidden="1"/>
    </xf>
    <xf numFmtId="0" fontId="12" fillId="0" borderId="0" xfId="58" applyFont="1" applyBorder="1" applyAlignment="1" applyProtection="1">
      <alignment horizontal="right"/>
      <protection hidden="1"/>
    </xf>
    <xf numFmtId="0" fontId="3" fillId="0" borderId="25" xfId="58" applyFont="1" applyFill="1" applyBorder="1" applyAlignment="1" applyProtection="1">
      <alignment/>
      <protection hidden="1"/>
    </xf>
    <xf numFmtId="0" fontId="3" fillId="0" borderId="25" xfId="58" applyFont="1" applyBorder="1" applyAlignment="1" applyProtection="1">
      <alignment wrapText="1"/>
      <protection hidden="1"/>
    </xf>
    <xf numFmtId="0" fontId="3" fillId="0" borderId="16" xfId="58" applyFont="1" applyBorder="1" applyAlignment="1" applyProtection="1">
      <alignment horizontal="right"/>
      <protection hidden="1"/>
    </xf>
    <xf numFmtId="0" fontId="3" fillId="0" borderId="25" xfId="58" applyFont="1" applyBorder="1" applyAlignment="1" applyProtection="1">
      <alignment/>
      <protection hidden="1"/>
    </xf>
    <xf numFmtId="0" fontId="3" fillId="0" borderId="16" xfId="58" applyFont="1" applyBorder="1" applyAlignment="1" applyProtection="1">
      <alignment horizontal="right" wrapText="1"/>
      <protection hidden="1"/>
    </xf>
    <xf numFmtId="0" fontId="2" fillId="0" borderId="25" xfId="58" applyFont="1" applyFill="1" applyBorder="1" applyAlignment="1" applyProtection="1">
      <alignment horizontal="right" vertical="center"/>
      <protection hidden="1" locked="0"/>
    </xf>
    <xf numFmtId="0" fontId="3" fillId="0" borderId="25" xfId="58" applyFont="1" applyBorder="1" applyAlignment="1" applyProtection="1">
      <alignment vertical="top"/>
      <protection hidden="1"/>
    </xf>
    <xf numFmtId="0" fontId="3" fillId="0" borderId="25" xfId="58" applyFont="1" applyBorder="1" applyAlignment="1" applyProtection="1">
      <alignment horizontal="left" vertical="top" wrapText="1"/>
      <protection hidden="1"/>
    </xf>
    <xf numFmtId="0" fontId="3" fillId="0" borderId="16" xfId="58" applyFont="1" applyBorder="1" applyAlignment="1">
      <alignment/>
      <protection/>
    </xf>
    <xf numFmtId="0" fontId="3" fillId="0" borderId="25" xfId="58" applyFont="1" applyBorder="1" applyAlignment="1" applyProtection="1">
      <alignment horizontal="left" vertical="top" indent="2"/>
      <protection hidden="1"/>
    </xf>
    <xf numFmtId="0" fontId="3" fillId="0" borderId="25" xfId="58" applyFont="1" applyBorder="1" applyAlignment="1" applyProtection="1">
      <alignment horizontal="left" vertical="top" wrapText="1" indent="2"/>
      <protection hidden="1"/>
    </xf>
    <xf numFmtId="0" fontId="3" fillId="0" borderId="16" xfId="58" applyFont="1" applyBorder="1" applyAlignment="1" applyProtection="1">
      <alignment horizontal="right" vertical="top"/>
      <protection hidden="1"/>
    </xf>
    <xf numFmtId="49" fontId="2" fillId="0" borderId="25" xfId="58" applyNumberFormat="1" applyFont="1" applyBorder="1" applyAlignment="1" applyProtection="1">
      <alignment horizontal="center" vertical="center"/>
      <protection hidden="1" locked="0"/>
    </xf>
    <xf numFmtId="0" fontId="3" fillId="0" borderId="16" xfId="58" applyFont="1" applyBorder="1" applyAlignment="1" applyProtection="1">
      <alignment horizontal="left" vertical="top"/>
      <protection hidden="1"/>
    </xf>
    <xf numFmtId="0" fontId="3" fillId="0" borderId="25" xfId="58" applyFont="1" applyBorder="1" applyAlignment="1" applyProtection="1">
      <alignment horizontal="left"/>
      <protection hidden="1"/>
    </xf>
    <xf numFmtId="0" fontId="3" fillId="0" borderId="24" xfId="58" applyFont="1" applyBorder="1" applyAlignment="1" applyProtection="1">
      <alignment/>
      <protection hidden="1"/>
    </xf>
    <xf numFmtId="0" fontId="3" fillId="0" borderId="16" xfId="58" applyFont="1" applyBorder="1" applyAlignment="1" applyProtection="1">
      <alignment horizontal="left"/>
      <protection hidden="1"/>
    </xf>
    <xf numFmtId="0" fontId="3" fillId="0" borderId="25" xfId="58" applyFont="1" applyFill="1" applyBorder="1" applyAlignment="1" applyProtection="1">
      <alignment vertical="center"/>
      <protection hidden="1"/>
    </xf>
    <xf numFmtId="0" fontId="13" fillId="0" borderId="25" xfId="63" applyFont="1" applyFill="1" applyBorder="1" applyAlignment="1" applyProtection="1">
      <alignment vertical="center"/>
      <protection hidden="1"/>
    </xf>
    <xf numFmtId="0" fontId="13" fillId="0" borderId="0" xfId="63" applyFont="1" applyBorder="1" applyAlignment="1" applyProtection="1">
      <alignment horizontal="left"/>
      <protection hidden="1"/>
    </xf>
    <xf numFmtId="0" fontId="9" fillId="0" borderId="0" xfId="63" applyBorder="1" applyAlignment="1">
      <alignment/>
      <protection/>
    </xf>
    <xf numFmtId="0" fontId="9" fillId="0" borderId="25" xfId="63" applyBorder="1" applyAlignment="1">
      <alignment/>
      <protection/>
    </xf>
    <xf numFmtId="0" fontId="2" fillId="0" borderId="16" xfId="58" applyFont="1" applyBorder="1" applyAlignment="1" applyProtection="1">
      <alignment vertical="center"/>
      <protection hidden="1"/>
    </xf>
    <xf numFmtId="0" fontId="3" fillId="0" borderId="26" xfId="58" applyFont="1" applyBorder="1" applyAlignment="1" applyProtection="1">
      <alignment/>
      <protection hidden="1"/>
    </xf>
    <xf numFmtId="0" fontId="3" fillId="0" borderId="27" xfId="58" applyFont="1" applyFill="1" applyBorder="1" applyAlignment="1" applyProtection="1">
      <alignment horizontal="right" vertical="top" wrapText="1"/>
      <protection hidden="1"/>
    </xf>
    <xf numFmtId="0" fontId="3" fillId="0" borderId="28" xfId="58" applyFont="1" applyFill="1" applyBorder="1" applyAlignment="1" applyProtection="1">
      <alignment horizontal="right" vertical="top" wrapText="1"/>
      <protection hidden="1"/>
    </xf>
    <xf numFmtId="0" fontId="3" fillId="0" borderId="28" xfId="58" applyFont="1" applyFill="1" applyBorder="1" applyAlignment="1" applyProtection="1">
      <alignment/>
      <protection hidden="1"/>
    </xf>
    <xf numFmtId="0" fontId="3" fillId="0" borderId="29" xfId="58" applyFont="1" applyFill="1" applyBorder="1" applyAlignment="1" applyProtection="1">
      <alignment/>
      <protection hidden="1"/>
    </xf>
    <xf numFmtId="14" fontId="2" fillId="0" borderId="21" xfId="58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8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8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8" applyFont="1" applyFill="1" applyBorder="1" applyAlignment="1" applyProtection="1">
      <alignment horizontal="center" vertical="center"/>
      <protection hidden="1" locked="0"/>
    </xf>
    <xf numFmtId="49" fontId="2" fillId="0" borderId="20" xfId="58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Fill="1" applyBorder="1" applyAlignment="1">
      <alignment/>
      <protection/>
    </xf>
    <xf numFmtId="49" fontId="2" fillId="0" borderId="0" xfId="58" applyNumberFormat="1" applyFont="1" applyFill="1" applyBorder="1" applyAlignment="1" applyProtection="1">
      <alignment horizontal="center" vertical="center"/>
      <protection hidden="1" locked="0"/>
    </xf>
    <xf numFmtId="0" fontId="2" fillId="24" borderId="27" xfId="58" applyFont="1" applyFill="1" applyBorder="1" applyAlignment="1" applyProtection="1">
      <alignment horizontal="left" vertical="center"/>
      <protection hidden="1" locked="0"/>
    </xf>
    <xf numFmtId="0" fontId="3" fillId="0" borderId="28" xfId="58" applyFont="1" applyBorder="1" applyAlignment="1">
      <alignment horizontal="left" vertical="center"/>
      <protection/>
    </xf>
    <xf numFmtId="0" fontId="3" fillId="0" borderId="29" xfId="58" applyFont="1" applyBorder="1" applyAlignment="1">
      <alignment horizontal="left" vertical="center"/>
      <protection/>
    </xf>
    <xf numFmtId="3" fontId="1" fillId="0" borderId="14" xfId="15" applyNumberFormat="1" applyFont="1" applyFill="1" applyBorder="1" applyAlignment="1" applyProtection="1">
      <alignment horizontal="right" vertical="center"/>
      <protection hidden="1"/>
    </xf>
    <xf numFmtId="0" fontId="3" fillId="0" borderId="25" xfId="58" applyFont="1" applyBorder="1" applyAlignment="1">
      <alignment horizontal="center"/>
      <protection/>
    </xf>
    <xf numFmtId="0" fontId="2" fillId="0" borderId="27" xfId="58" applyFont="1" applyFill="1" applyBorder="1" applyAlignment="1" applyProtection="1">
      <alignment horizontal="right" vertical="center"/>
      <protection hidden="1" locked="0"/>
    </xf>
    <xf numFmtId="0" fontId="3" fillId="0" borderId="28" xfId="58" applyFont="1" applyFill="1" applyBorder="1" applyAlignment="1">
      <alignment/>
      <protection/>
    </xf>
    <xf numFmtId="0" fontId="3" fillId="0" borderId="29" xfId="58" applyFont="1" applyFill="1" applyBorder="1" applyAlignment="1">
      <alignment/>
      <protection/>
    </xf>
    <xf numFmtId="0" fontId="3" fillId="0" borderId="0" xfId="58" applyFont="1" applyBorder="1" applyAlignment="1" applyProtection="1">
      <alignment horizontal="right"/>
      <protection hidden="1"/>
    </xf>
    <xf numFmtId="0" fontId="3" fillId="0" borderId="0" xfId="58" applyFont="1" applyBorder="1" applyAlignment="1" applyProtection="1">
      <alignment horizontal="right" vertical="center"/>
      <protection hidden="1"/>
    </xf>
    <xf numFmtId="0" fontId="3" fillId="0" borderId="16" xfId="58" applyFont="1" applyBorder="1" applyAlignment="1" applyProtection="1">
      <alignment horizontal="center" vertical="center"/>
      <protection hidden="1"/>
    </xf>
    <xf numFmtId="0" fontId="3" fillId="0" borderId="0" xfId="58" applyFont="1" applyBorder="1" applyAlignment="1">
      <alignment horizontal="center" vertical="center"/>
      <protection/>
    </xf>
    <xf numFmtId="0" fontId="3" fillId="0" borderId="0" xfId="58" applyFont="1" applyBorder="1" applyAlignment="1">
      <alignment horizontal="center"/>
      <protection/>
    </xf>
    <xf numFmtId="0" fontId="3" fillId="0" borderId="0" xfId="58" applyFont="1" applyBorder="1" applyAlignment="1">
      <alignment horizontal="center" vertical="center"/>
      <protection/>
    </xf>
    <xf numFmtId="0" fontId="3" fillId="0" borderId="0" xfId="58" applyFont="1" applyBorder="1" applyAlignment="1">
      <alignment vertical="center"/>
      <protection/>
    </xf>
    <xf numFmtId="0" fontId="3" fillId="0" borderId="0" xfId="58" applyFont="1" applyBorder="1" applyAlignment="1">
      <alignment horizontal="center"/>
      <protection/>
    </xf>
    <xf numFmtId="0" fontId="2" fillId="0" borderId="29" xfId="58" applyFont="1" applyBorder="1" applyAlignment="1" applyProtection="1">
      <alignment/>
      <protection hidden="1" locked="0"/>
    </xf>
    <xf numFmtId="0" fontId="3" fillId="0" borderId="28" xfId="15" applyFont="1" applyBorder="1" applyAlignment="1">
      <alignment horizontal="left"/>
      <protection/>
    </xf>
    <xf numFmtId="0" fontId="3" fillId="0" borderId="29" xfId="15" applyFont="1" applyBorder="1" applyAlignment="1">
      <alignment horizontal="left"/>
      <protection/>
    </xf>
    <xf numFmtId="0" fontId="3" fillId="0" borderId="29" xfId="15" applyFont="1" applyBorder="1" applyAlignment="1">
      <alignment horizontal="left" vertical="center"/>
      <protection/>
    </xf>
    <xf numFmtId="0" fontId="4" fillId="24" borderId="27" xfId="54" applyFill="1" applyBorder="1" applyAlignment="1" applyProtection="1">
      <alignment/>
      <protection hidden="1" locked="0"/>
    </xf>
    <xf numFmtId="0" fontId="2" fillId="0" borderId="28" xfId="58" applyFont="1" applyBorder="1" applyAlignment="1" applyProtection="1">
      <alignment/>
      <protection hidden="1" locked="0"/>
    </xf>
    <xf numFmtId="1" fontId="2" fillId="24" borderId="27" xfId="58" applyNumberFormat="1" applyFont="1" applyFill="1" applyBorder="1" applyAlignment="1" applyProtection="1">
      <alignment horizontal="center" vertical="center"/>
      <protection hidden="1" locked="0"/>
    </xf>
    <xf numFmtId="1" fontId="2" fillId="24" borderId="29" xfId="58" applyNumberFormat="1" applyFont="1" applyFill="1" applyBorder="1" applyAlignment="1" applyProtection="1">
      <alignment horizontal="center" vertical="center"/>
      <protection hidden="1" locked="0"/>
    </xf>
    <xf numFmtId="0" fontId="2" fillId="24" borderId="27" xfId="15" applyFont="1" applyFill="1" applyBorder="1" applyAlignment="1" applyProtection="1">
      <alignment horizontal="left" vertical="center"/>
      <protection hidden="1" locked="0"/>
    </xf>
    <xf numFmtId="0" fontId="3" fillId="0" borderId="28" xfId="15" applyFont="1" applyBorder="1" applyAlignment="1">
      <alignment horizontal="left" vertical="center"/>
      <protection/>
    </xf>
    <xf numFmtId="0" fontId="3" fillId="0" borderId="16" xfId="58" applyFont="1" applyBorder="1" applyAlignment="1" applyProtection="1">
      <alignment horizontal="right" vertical="center" wrapText="1"/>
      <protection hidden="1"/>
    </xf>
    <xf numFmtId="0" fontId="3" fillId="0" borderId="0" xfId="58" applyFont="1" applyBorder="1" applyAlignment="1" applyProtection="1">
      <alignment horizontal="right" wrapText="1"/>
      <protection hidden="1"/>
    </xf>
    <xf numFmtId="0" fontId="3" fillId="0" borderId="16" xfId="58" applyFont="1" applyBorder="1" applyAlignment="1" applyProtection="1">
      <alignment horizontal="right" wrapText="1"/>
      <protection hidden="1"/>
    </xf>
    <xf numFmtId="49" fontId="2" fillId="24" borderId="27" xfId="15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15" applyNumberFormat="1" applyFont="1" applyBorder="1" applyAlignment="1" applyProtection="1">
      <alignment horizontal="center" vertical="center"/>
      <protection hidden="1" locked="0"/>
    </xf>
    <xf numFmtId="0" fontId="2" fillId="0" borderId="16" xfId="58" applyFont="1" applyFill="1" applyBorder="1" applyAlignment="1" applyProtection="1">
      <alignment horizontal="left" vertical="center" wrapText="1"/>
      <protection hidden="1"/>
    </xf>
    <xf numFmtId="0" fontId="2" fillId="0" borderId="0" xfId="58" applyFont="1" applyFill="1" applyBorder="1" applyAlignment="1" applyProtection="1">
      <alignment horizontal="left" vertical="center" wrapText="1"/>
      <protection hidden="1"/>
    </xf>
    <xf numFmtId="0" fontId="2" fillId="0" borderId="25" xfId="58" applyFont="1" applyFill="1" applyBorder="1" applyAlignment="1" applyProtection="1">
      <alignment horizontal="left" vertical="center" wrapText="1"/>
      <protection hidden="1"/>
    </xf>
    <xf numFmtId="0" fontId="11" fillId="0" borderId="16" xfId="58" applyFont="1" applyBorder="1" applyAlignment="1" applyProtection="1">
      <alignment horizontal="center" vertical="center" wrapText="1"/>
      <protection hidden="1"/>
    </xf>
    <xf numFmtId="0" fontId="11" fillId="0" borderId="0" xfId="58" applyFont="1" applyBorder="1" applyAlignment="1" applyProtection="1">
      <alignment horizontal="center" vertical="center" wrapText="1"/>
      <protection hidden="1"/>
    </xf>
    <xf numFmtId="0" fontId="11" fillId="0" borderId="25" xfId="58" applyFont="1" applyBorder="1" applyAlignment="1" applyProtection="1">
      <alignment horizontal="center" vertical="center" wrapText="1"/>
      <protection hidden="1"/>
    </xf>
    <xf numFmtId="0" fontId="3" fillId="0" borderId="16" xfId="58" applyFont="1" applyBorder="1" applyAlignment="1" applyProtection="1">
      <alignment horizontal="right" vertical="center"/>
      <protection hidden="1"/>
    </xf>
    <xf numFmtId="0" fontId="3" fillId="0" borderId="25" xfId="58" applyFont="1" applyBorder="1" applyAlignment="1" applyProtection="1">
      <alignment horizontal="right"/>
      <protection hidden="1"/>
    </xf>
    <xf numFmtId="49" fontId="2" fillId="24" borderId="27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8" applyNumberFormat="1" applyFont="1" applyBorder="1" applyAlignment="1" applyProtection="1">
      <alignment horizontal="center" vertical="center"/>
      <protection hidden="1" locked="0"/>
    </xf>
    <xf numFmtId="0" fontId="1" fillId="0" borderId="16" xfId="58" applyFont="1" applyBorder="1" applyAlignment="1" applyProtection="1">
      <alignment horizontal="right" vertical="center" wrapText="1"/>
      <protection hidden="1"/>
    </xf>
    <xf numFmtId="0" fontId="1" fillId="0" borderId="25" xfId="58" applyFont="1" applyBorder="1" applyAlignment="1" applyProtection="1">
      <alignment horizontal="right" wrapText="1"/>
      <protection hidden="1"/>
    </xf>
    <xf numFmtId="0" fontId="2" fillId="24" borderId="27" xfId="58" applyFont="1" applyFill="1" applyBorder="1" applyAlignment="1" applyProtection="1">
      <alignment horizontal="left" vertical="center"/>
      <protection hidden="1" locked="0"/>
    </xf>
    <xf numFmtId="0" fontId="3" fillId="0" borderId="28" xfId="58" applyFont="1" applyBorder="1" applyAlignment="1">
      <alignment horizontal="left" vertical="center"/>
      <protection/>
    </xf>
    <xf numFmtId="0" fontId="3" fillId="0" borderId="29" xfId="58" applyFont="1" applyBorder="1" applyAlignment="1">
      <alignment horizontal="left" vertical="center"/>
      <protection/>
    </xf>
    <xf numFmtId="49" fontId="2" fillId="0" borderId="27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vertical="top" wrapText="1"/>
      <protection hidden="1"/>
    </xf>
    <xf numFmtId="0" fontId="3" fillId="0" borderId="0" xfId="58" applyFont="1" applyBorder="1" applyAlignment="1" applyProtection="1">
      <alignment wrapText="1"/>
      <protection hidden="1"/>
    </xf>
    <xf numFmtId="0" fontId="10" fillId="0" borderId="30" xfId="58" applyFont="1" applyBorder="1" applyAlignment="1">
      <alignment/>
      <protection/>
    </xf>
    <xf numFmtId="0" fontId="10" fillId="0" borderId="17" xfId="58" applyFont="1" applyBorder="1" applyAlignment="1">
      <alignment/>
      <protection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3" fillId="0" borderId="17" xfId="58" applyFont="1" applyBorder="1" applyAlignment="1" applyProtection="1">
      <alignment horizontal="center"/>
      <protection hidden="1"/>
    </xf>
    <xf numFmtId="0" fontId="2" fillId="0" borderId="28" xfId="15" applyFont="1" applyBorder="1" applyAlignment="1" applyProtection="1">
      <alignment horizontal="left" vertical="center"/>
      <protection hidden="1" locked="0"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31" xfId="58" applyFont="1" applyBorder="1" applyAlignment="1" applyProtection="1">
      <alignment horizontal="center" vertical="top"/>
      <protection hidden="1"/>
    </xf>
    <xf numFmtId="0" fontId="3" fillId="0" borderId="31" xfId="58" applyFont="1" applyBorder="1" applyAlignment="1">
      <alignment horizontal="center"/>
      <protection/>
    </xf>
    <xf numFmtId="0" fontId="3" fillId="0" borderId="32" xfId="58" applyFont="1" applyBorder="1" applyAlignment="1">
      <alignment/>
      <protection/>
    </xf>
    <xf numFmtId="0" fontId="3" fillId="0" borderId="25" xfId="58" applyFont="1" applyBorder="1" applyAlignment="1" applyProtection="1">
      <alignment horizontal="right" wrapText="1"/>
      <protection hidden="1"/>
    </xf>
    <xf numFmtId="0" fontId="2" fillId="0" borderId="27" xfId="58" applyFont="1" applyFill="1" applyBorder="1" applyAlignment="1" applyProtection="1">
      <alignment horizontal="left" vertical="center"/>
      <protection hidden="1" locked="0"/>
    </xf>
    <xf numFmtId="49" fontId="2" fillId="24" borderId="27" xfId="58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8" applyNumberFormat="1" applyFont="1" applyBorder="1" applyAlignment="1" applyProtection="1">
      <alignment horizontal="left" vertical="center"/>
      <protection hidden="1" locked="0"/>
    </xf>
    <xf numFmtId="49" fontId="2" fillId="0" borderId="29" xfId="58" applyNumberFormat="1" applyFont="1" applyBorder="1" applyAlignment="1" applyProtection="1">
      <alignment horizontal="left" vertical="center"/>
      <protection hidden="1" locked="0"/>
    </xf>
    <xf numFmtId="49" fontId="2" fillId="24" borderId="27" xfId="15" applyNumberFormat="1" applyFont="1" applyFill="1" applyBorder="1" applyAlignment="1" applyProtection="1">
      <alignment horizontal="left" vertical="center"/>
      <protection hidden="1" locked="0"/>
    </xf>
    <xf numFmtId="49" fontId="2" fillId="0" borderId="29" xfId="15" applyNumberFormat="1" applyFont="1" applyBorder="1" applyAlignment="1" applyProtection="1">
      <alignment horizontal="left" vertical="center"/>
      <protection hidden="1" locked="0"/>
    </xf>
    <xf numFmtId="0" fontId="3" fillId="0" borderId="28" xfId="58" applyFont="1" applyFill="1" applyBorder="1" applyAlignment="1" applyProtection="1">
      <alignment horizontal="center" vertical="top"/>
      <protection hidden="1"/>
    </xf>
    <xf numFmtId="0" fontId="3" fillId="0" borderId="28" xfId="58" applyFont="1" applyFill="1" applyBorder="1" applyAlignment="1" applyProtection="1">
      <alignment horizontal="center"/>
      <protection hidden="1"/>
    </xf>
    <xf numFmtId="49" fontId="4" fillId="24" borderId="27" xfId="54" applyNumberFormat="1" applyFill="1" applyBorder="1" applyAlignment="1" applyProtection="1">
      <alignment horizontal="left" vertical="center"/>
      <protection hidden="1" locked="0"/>
    </xf>
    <xf numFmtId="49" fontId="2" fillId="0" borderId="28" xfId="15" applyNumberFormat="1" applyFont="1" applyBorder="1" applyAlignment="1" applyProtection="1">
      <alignment horizontal="left" vertical="center"/>
      <protection hidden="1" locked="0"/>
    </xf>
    <xf numFmtId="0" fontId="15" fillId="0" borderId="0" xfId="63" applyFont="1" applyBorder="1" applyAlignment="1" applyProtection="1">
      <alignment horizontal="left"/>
      <protection hidden="1"/>
    </xf>
    <xf numFmtId="0" fontId="16" fillId="0" borderId="0" xfId="63" applyFont="1" applyBorder="1" applyAlignment="1">
      <alignment/>
      <protection/>
    </xf>
    <xf numFmtId="0" fontId="13" fillId="0" borderId="0" xfId="63" applyFont="1" applyBorder="1" applyAlignment="1" applyProtection="1">
      <alignment horizontal="left"/>
      <protection hidden="1"/>
    </xf>
    <xf numFmtId="0" fontId="9" fillId="0" borderId="0" xfId="63" applyBorder="1" applyAlignment="1">
      <alignment/>
      <protection/>
    </xf>
    <xf numFmtId="0" fontId="9" fillId="0" borderId="25" xfId="63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vertical="center" wrapText="1"/>
    </xf>
    <xf numFmtId="0" fontId="17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7" fillId="0" borderId="0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6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63" applyFont="1" applyFill="1" applyBorder="1" applyAlignment="1" applyProtection="1">
      <alignment horizontal="center" vertical="center"/>
      <protection hidden="1"/>
    </xf>
    <xf numFmtId="14" fontId="7" fillId="0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</cellXfs>
  <cellStyles count="52">
    <cellStyle name="Normal" xfId="0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TFI-POD" xfId="58"/>
    <cellStyle name="Note" xfId="59"/>
    <cellStyle name="Obično_Knjiga2" xfId="60"/>
    <cellStyle name="Output" xfId="61"/>
    <cellStyle name="Percent" xfId="62"/>
    <cellStyle name="Style 1" xfId="63"/>
    <cellStyle name="Title" xfId="64"/>
    <cellStyle name="Total" xfId="65"/>
    <cellStyle name="Warning Text" xfId="66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otelimaestral@hotelimaestral.com" TargetMode="External" /><Relationship Id="rId2" Type="http://schemas.openxmlformats.org/officeDocument/2006/relationships/hyperlink" Target="http://www.hotelimaestral/" TargetMode="External" /><Relationship Id="rId3" Type="http://schemas.openxmlformats.org/officeDocument/2006/relationships/hyperlink" Target="mailto:hotelimaestral@hotelimaestral.com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zoomScaleSheetLayoutView="110" zoomScalePageLayoutView="0" workbookViewId="0" topLeftCell="A1">
      <selection activeCell="C52" sqref="C52:I52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73" t="s">
        <v>213</v>
      </c>
      <c r="B1" s="174"/>
      <c r="C1" s="174"/>
      <c r="D1" s="80"/>
      <c r="E1" s="80"/>
      <c r="F1" s="80"/>
      <c r="G1" s="80"/>
      <c r="H1" s="80"/>
      <c r="I1" s="81"/>
      <c r="J1" s="10"/>
      <c r="K1" s="10"/>
      <c r="L1" s="10"/>
    </row>
    <row r="2" spans="1:12" ht="12.75">
      <c r="A2" s="154" t="s">
        <v>214</v>
      </c>
      <c r="B2" s="155"/>
      <c r="C2" s="155"/>
      <c r="D2" s="156"/>
      <c r="E2" s="115" t="s">
        <v>283</v>
      </c>
      <c r="F2" s="12"/>
      <c r="G2" s="13" t="s">
        <v>215</v>
      </c>
      <c r="H2" s="115" t="s">
        <v>284</v>
      </c>
      <c r="I2" s="82"/>
      <c r="J2" s="10"/>
      <c r="K2" s="10"/>
      <c r="L2" s="10"/>
    </row>
    <row r="3" spans="1:12" ht="12.75">
      <c r="A3" s="83"/>
      <c r="B3" s="14"/>
      <c r="C3" s="14"/>
      <c r="D3" s="14"/>
      <c r="E3" s="15"/>
      <c r="F3" s="15"/>
      <c r="G3" s="14"/>
      <c r="H3" s="14"/>
      <c r="I3" s="84"/>
      <c r="J3" s="10"/>
      <c r="K3" s="10"/>
      <c r="L3" s="10"/>
    </row>
    <row r="4" spans="1:12" ht="15">
      <c r="A4" s="157" t="s">
        <v>278</v>
      </c>
      <c r="B4" s="158"/>
      <c r="C4" s="158"/>
      <c r="D4" s="158"/>
      <c r="E4" s="158"/>
      <c r="F4" s="158"/>
      <c r="G4" s="158"/>
      <c r="H4" s="158"/>
      <c r="I4" s="159"/>
      <c r="J4" s="10"/>
      <c r="K4" s="10"/>
      <c r="L4" s="10"/>
    </row>
    <row r="5" spans="1:12" ht="12.75">
      <c r="A5" s="85"/>
      <c r="B5" s="16"/>
      <c r="C5" s="16"/>
      <c r="D5" s="16"/>
      <c r="E5" s="17"/>
      <c r="F5" s="86"/>
      <c r="G5" s="18"/>
      <c r="H5" s="19"/>
      <c r="I5" s="87"/>
      <c r="J5" s="10"/>
      <c r="K5" s="10"/>
      <c r="L5" s="10"/>
    </row>
    <row r="6" spans="1:12" ht="12.75">
      <c r="A6" s="160" t="s">
        <v>216</v>
      </c>
      <c r="B6" s="161"/>
      <c r="C6" s="162" t="s">
        <v>285</v>
      </c>
      <c r="D6" s="163"/>
      <c r="E6" s="29"/>
      <c r="F6" s="29"/>
      <c r="G6" s="29"/>
      <c r="H6" s="29"/>
      <c r="I6" s="88"/>
      <c r="J6" s="10"/>
      <c r="K6" s="10"/>
      <c r="L6" s="10"/>
    </row>
    <row r="7" spans="1:12" ht="12.75">
      <c r="A7" s="89"/>
      <c r="B7" s="22"/>
      <c r="C7" s="16"/>
      <c r="D7" s="16"/>
      <c r="E7" s="29"/>
      <c r="F7" s="29"/>
      <c r="G7" s="29"/>
      <c r="H7" s="29"/>
      <c r="I7" s="88"/>
      <c r="J7" s="10"/>
      <c r="K7" s="10"/>
      <c r="L7" s="10"/>
    </row>
    <row r="8" spans="1:12" ht="12.75">
      <c r="A8" s="164" t="s">
        <v>217</v>
      </c>
      <c r="B8" s="165"/>
      <c r="C8" s="152" t="s">
        <v>286</v>
      </c>
      <c r="D8" s="153"/>
      <c r="E8" s="29"/>
      <c r="F8" s="29"/>
      <c r="G8" s="29"/>
      <c r="H8" s="29"/>
      <c r="I8" s="90"/>
      <c r="J8" s="10"/>
      <c r="K8" s="10"/>
      <c r="L8" s="10"/>
    </row>
    <row r="9" spans="1:12" ht="12.75">
      <c r="A9" s="91"/>
      <c r="B9" s="47"/>
      <c r="C9" s="20"/>
      <c r="D9" s="26"/>
      <c r="E9" s="16"/>
      <c r="F9" s="16"/>
      <c r="G9" s="16"/>
      <c r="H9" s="16"/>
      <c r="I9" s="90"/>
      <c r="J9" s="10"/>
      <c r="K9" s="10"/>
      <c r="L9" s="10"/>
    </row>
    <row r="10" spans="1:12" ht="12.75">
      <c r="A10" s="149" t="s">
        <v>218</v>
      </c>
      <c r="B10" s="150"/>
      <c r="C10" s="152" t="s">
        <v>287</v>
      </c>
      <c r="D10" s="153"/>
      <c r="E10" s="16"/>
      <c r="F10" s="16"/>
      <c r="G10" s="16"/>
      <c r="H10" s="16"/>
      <c r="I10" s="90"/>
      <c r="J10" s="10"/>
      <c r="K10" s="10"/>
      <c r="L10" s="10"/>
    </row>
    <row r="11" spans="1:12" ht="12.75">
      <c r="A11" s="151"/>
      <c r="B11" s="150"/>
      <c r="C11" s="16"/>
      <c r="D11" s="16"/>
      <c r="E11" s="16"/>
      <c r="F11" s="16"/>
      <c r="G11" s="16"/>
      <c r="H11" s="16"/>
      <c r="I11" s="90"/>
      <c r="J11" s="10"/>
      <c r="K11" s="10"/>
      <c r="L11" s="10"/>
    </row>
    <row r="12" spans="1:12" ht="12.75">
      <c r="A12" s="160" t="s">
        <v>219</v>
      </c>
      <c r="B12" s="161"/>
      <c r="C12" s="166" t="s">
        <v>288</v>
      </c>
      <c r="D12" s="167"/>
      <c r="E12" s="167"/>
      <c r="F12" s="167"/>
      <c r="G12" s="167"/>
      <c r="H12" s="167"/>
      <c r="I12" s="168"/>
      <c r="J12" s="10"/>
      <c r="K12" s="10"/>
      <c r="L12" s="10"/>
    </row>
    <row r="13" spans="1:12" ht="12.75">
      <c r="A13" s="89"/>
      <c r="B13" s="22"/>
      <c r="C13" s="21"/>
      <c r="D13" s="16"/>
      <c r="E13" s="16"/>
      <c r="F13" s="16"/>
      <c r="G13" s="16"/>
      <c r="H13" s="16"/>
      <c r="I13" s="90"/>
      <c r="J13" s="10"/>
      <c r="K13" s="10"/>
      <c r="L13" s="10"/>
    </row>
    <row r="14" spans="1:12" ht="12.75">
      <c r="A14" s="160" t="s">
        <v>220</v>
      </c>
      <c r="B14" s="161"/>
      <c r="C14" s="145">
        <v>20000</v>
      </c>
      <c r="D14" s="146"/>
      <c r="E14" s="16"/>
      <c r="F14" s="123" t="s">
        <v>289</v>
      </c>
      <c r="G14" s="124"/>
      <c r="H14" s="124"/>
      <c r="I14" s="125"/>
      <c r="J14" s="10"/>
      <c r="K14" s="10"/>
      <c r="L14" s="10"/>
    </row>
    <row r="15" spans="1:12" ht="12.75">
      <c r="A15" s="89"/>
      <c r="B15" s="22"/>
      <c r="C15" s="16"/>
      <c r="D15" s="16"/>
      <c r="E15" s="16"/>
      <c r="F15" s="16"/>
      <c r="G15" s="16"/>
      <c r="H15" s="16"/>
      <c r="I15" s="90"/>
      <c r="J15" s="10"/>
      <c r="K15" s="10"/>
      <c r="L15" s="10"/>
    </row>
    <row r="16" spans="1:12" ht="12.75">
      <c r="A16" s="160" t="s">
        <v>221</v>
      </c>
      <c r="B16" s="161"/>
      <c r="C16" s="147" t="s">
        <v>290</v>
      </c>
      <c r="D16" s="148"/>
      <c r="E16" s="148"/>
      <c r="F16" s="148"/>
      <c r="G16" s="148"/>
      <c r="H16" s="148"/>
      <c r="I16" s="142"/>
      <c r="J16" s="10"/>
      <c r="K16" s="10"/>
      <c r="L16" s="10"/>
    </row>
    <row r="17" spans="1:12" ht="12.75">
      <c r="A17" s="89"/>
      <c r="B17" s="22"/>
      <c r="C17" s="16"/>
      <c r="D17" s="16"/>
      <c r="E17" s="16"/>
      <c r="F17" s="16"/>
      <c r="G17" s="16"/>
      <c r="H17" s="16"/>
      <c r="I17" s="90"/>
      <c r="J17" s="10"/>
      <c r="K17" s="10"/>
      <c r="L17" s="10"/>
    </row>
    <row r="18" spans="1:12" ht="12.75">
      <c r="A18" s="160" t="s">
        <v>222</v>
      </c>
      <c r="B18" s="161"/>
      <c r="C18" s="143" t="s">
        <v>291</v>
      </c>
      <c r="D18" s="144"/>
      <c r="E18" s="144"/>
      <c r="F18" s="144"/>
      <c r="G18" s="144"/>
      <c r="H18" s="144"/>
      <c r="I18" s="139"/>
      <c r="J18" s="10"/>
      <c r="K18" s="10"/>
      <c r="L18" s="10"/>
    </row>
    <row r="19" spans="1:12" ht="12.75">
      <c r="A19" s="89"/>
      <c r="B19" s="22"/>
      <c r="C19" s="21"/>
      <c r="D19" s="16"/>
      <c r="E19" s="16"/>
      <c r="F19" s="16"/>
      <c r="G19" s="16"/>
      <c r="H19" s="16"/>
      <c r="I19" s="90"/>
      <c r="J19" s="10"/>
      <c r="K19" s="10"/>
      <c r="L19" s="10"/>
    </row>
    <row r="20" spans="1:12" ht="12.75">
      <c r="A20" s="160" t="s">
        <v>223</v>
      </c>
      <c r="B20" s="161"/>
      <c r="C20" s="143" t="s">
        <v>292</v>
      </c>
      <c r="D20" s="144"/>
      <c r="E20" s="144"/>
      <c r="F20" s="144"/>
      <c r="G20" s="144"/>
      <c r="H20" s="144"/>
      <c r="I20" s="139"/>
      <c r="J20" s="10"/>
      <c r="K20" s="10"/>
      <c r="L20" s="10"/>
    </row>
    <row r="21" spans="1:12" ht="12.75">
      <c r="A21" s="89"/>
      <c r="B21" s="22"/>
      <c r="C21" s="21"/>
      <c r="D21" s="16"/>
      <c r="E21" s="16"/>
      <c r="F21" s="16"/>
      <c r="G21" s="16"/>
      <c r="H21" s="16"/>
      <c r="I21" s="90"/>
      <c r="J21" s="10"/>
      <c r="K21" s="10"/>
      <c r="L21" s="10"/>
    </row>
    <row r="22" spans="1:12" ht="12.75">
      <c r="A22" s="160" t="s">
        <v>224</v>
      </c>
      <c r="B22" s="161"/>
      <c r="C22" s="116">
        <v>98</v>
      </c>
      <c r="D22" s="147" t="s">
        <v>289</v>
      </c>
      <c r="E22" s="140"/>
      <c r="F22" s="141"/>
      <c r="G22" s="160"/>
      <c r="H22" s="131"/>
      <c r="I22" s="92"/>
      <c r="J22" s="10"/>
      <c r="K22" s="10"/>
      <c r="L22" s="10"/>
    </row>
    <row r="23" spans="1:12" ht="12.75">
      <c r="A23" s="89"/>
      <c r="B23" s="22"/>
      <c r="C23" s="16"/>
      <c r="D23" s="24"/>
      <c r="E23" s="24"/>
      <c r="F23" s="24"/>
      <c r="G23" s="24"/>
      <c r="H23" s="16"/>
      <c r="I23" s="90"/>
      <c r="J23" s="10"/>
      <c r="K23" s="10"/>
      <c r="L23" s="10"/>
    </row>
    <row r="24" spans="1:12" ht="12.75">
      <c r="A24" s="160" t="s">
        <v>225</v>
      </c>
      <c r="B24" s="161"/>
      <c r="C24" s="116">
        <v>19</v>
      </c>
      <c r="D24" s="147" t="s">
        <v>293</v>
      </c>
      <c r="E24" s="140"/>
      <c r="F24" s="140"/>
      <c r="G24" s="141"/>
      <c r="H24" s="48" t="s">
        <v>226</v>
      </c>
      <c r="I24" s="117">
        <v>192</v>
      </c>
      <c r="J24" s="10"/>
      <c r="K24" s="10"/>
      <c r="L24" s="10"/>
    </row>
    <row r="25" spans="1:12" ht="12.75">
      <c r="A25" s="89"/>
      <c r="B25" s="22"/>
      <c r="C25" s="16"/>
      <c r="D25" s="24"/>
      <c r="E25" s="24"/>
      <c r="F25" s="24"/>
      <c r="G25" s="22"/>
      <c r="H25" s="22" t="s">
        <v>279</v>
      </c>
      <c r="I25" s="93"/>
      <c r="J25" s="10"/>
      <c r="K25" s="10"/>
      <c r="L25" s="10"/>
    </row>
    <row r="26" spans="1:12" ht="12.75">
      <c r="A26" s="160" t="s">
        <v>227</v>
      </c>
      <c r="B26" s="161"/>
      <c r="C26" s="118" t="s">
        <v>294</v>
      </c>
      <c r="D26" s="25"/>
      <c r="E26" s="33"/>
      <c r="F26" s="24"/>
      <c r="G26" s="132" t="s">
        <v>228</v>
      </c>
      <c r="H26" s="161"/>
      <c r="I26" s="119" t="s">
        <v>295</v>
      </c>
      <c r="J26" s="10"/>
      <c r="K26" s="10"/>
      <c r="L26" s="10"/>
    </row>
    <row r="27" spans="1:12" ht="12.75">
      <c r="A27" s="89"/>
      <c r="B27" s="22"/>
      <c r="C27" s="16"/>
      <c r="D27" s="24"/>
      <c r="E27" s="24"/>
      <c r="F27" s="24"/>
      <c r="G27" s="24"/>
      <c r="H27" s="16"/>
      <c r="I27" s="94"/>
      <c r="J27" s="10"/>
      <c r="K27" s="10"/>
      <c r="L27" s="10"/>
    </row>
    <row r="28" spans="1:12" ht="12.75">
      <c r="A28" s="133" t="s">
        <v>229</v>
      </c>
      <c r="B28" s="134"/>
      <c r="C28" s="135"/>
      <c r="D28" s="135"/>
      <c r="E28" s="136" t="s">
        <v>230</v>
      </c>
      <c r="F28" s="137"/>
      <c r="G28" s="137"/>
      <c r="H28" s="138" t="s">
        <v>231</v>
      </c>
      <c r="I28" s="127"/>
      <c r="J28" s="10"/>
      <c r="K28" s="10"/>
      <c r="L28" s="10"/>
    </row>
    <row r="29" spans="1:12" ht="12.75">
      <c r="A29" s="95"/>
      <c r="B29" s="33"/>
      <c r="C29" s="33"/>
      <c r="D29" s="26"/>
      <c r="E29" s="16"/>
      <c r="F29" s="16"/>
      <c r="G29" s="16"/>
      <c r="H29" s="27"/>
      <c r="I29" s="94"/>
      <c r="J29" s="10"/>
      <c r="K29" s="10"/>
      <c r="L29" s="10"/>
    </row>
    <row r="30" spans="1:12" ht="12.75">
      <c r="A30" s="128"/>
      <c r="B30" s="129"/>
      <c r="C30" s="129"/>
      <c r="D30" s="130"/>
      <c r="E30" s="128"/>
      <c r="F30" s="129"/>
      <c r="G30" s="129"/>
      <c r="H30" s="169"/>
      <c r="I30" s="170"/>
      <c r="J30" s="10"/>
      <c r="K30" s="10"/>
      <c r="L30" s="10"/>
    </row>
    <row r="31" spans="1:12" ht="12.75">
      <c r="A31" s="89"/>
      <c r="B31" s="22"/>
      <c r="C31" s="21"/>
      <c r="D31" s="171"/>
      <c r="E31" s="171"/>
      <c r="F31" s="171"/>
      <c r="G31" s="172"/>
      <c r="H31" s="16"/>
      <c r="I31" s="96"/>
      <c r="J31" s="10"/>
      <c r="K31" s="10"/>
      <c r="L31" s="10"/>
    </row>
    <row r="32" spans="1:12" ht="12.75">
      <c r="A32" s="128"/>
      <c r="B32" s="129"/>
      <c r="C32" s="129"/>
      <c r="D32" s="130"/>
      <c r="E32" s="128"/>
      <c r="F32" s="129"/>
      <c r="G32" s="129"/>
      <c r="H32" s="169"/>
      <c r="I32" s="170"/>
      <c r="J32" s="10"/>
      <c r="K32" s="10"/>
      <c r="L32" s="10"/>
    </row>
    <row r="33" spans="1:12" ht="12.75">
      <c r="A33" s="89"/>
      <c r="B33" s="22"/>
      <c r="C33" s="21"/>
      <c r="D33" s="28"/>
      <c r="E33" s="28"/>
      <c r="F33" s="28"/>
      <c r="G33" s="29"/>
      <c r="H33" s="16"/>
      <c r="I33" s="97"/>
      <c r="J33" s="10"/>
      <c r="K33" s="10"/>
      <c r="L33" s="10"/>
    </row>
    <row r="34" spans="1:12" ht="12.75">
      <c r="A34" s="128"/>
      <c r="B34" s="129"/>
      <c r="C34" s="129"/>
      <c r="D34" s="130"/>
      <c r="E34" s="128"/>
      <c r="F34" s="129"/>
      <c r="G34" s="129"/>
      <c r="H34" s="169"/>
      <c r="I34" s="170"/>
      <c r="J34" s="10"/>
      <c r="K34" s="10"/>
      <c r="L34" s="10"/>
    </row>
    <row r="35" spans="1:12" ht="12.75">
      <c r="A35" s="89"/>
      <c r="B35" s="22"/>
      <c r="C35" s="21"/>
      <c r="D35" s="28"/>
      <c r="E35" s="28"/>
      <c r="F35" s="28"/>
      <c r="G35" s="29"/>
      <c r="H35" s="16"/>
      <c r="I35" s="97"/>
      <c r="J35" s="10"/>
      <c r="K35" s="10"/>
      <c r="L35" s="10"/>
    </row>
    <row r="36" spans="1:12" ht="12.75">
      <c r="A36" s="128"/>
      <c r="B36" s="129"/>
      <c r="C36" s="129"/>
      <c r="D36" s="130"/>
      <c r="E36" s="128"/>
      <c r="F36" s="129"/>
      <c r="G36" s="129"/>
      <c r="H36" s="169"/>
      <c r="I36" s="170"/>
      <c r="J36" s="10"/>
      <c r="K36" s="10"/>
      <c r="L36" s="10"/>
    </row>
    <row r="37" spans="1:12" ht="12.75">
      <c r="A37" s="98"/>
      <c r="B37" s="30"/>
      <c r="C37" s="175"/>
      <c r="D37" s="176"/>
      <c r="E37" s="16"/>
      <c r="F37" s="175"/>
      <c r="G37" s="176"/>
      <c r="H37" s="16"/>
      <c r="I37" s="90"/>
      <c r="J37" s="10"/>
      <c r="K37" s="10"/>
      <c r="L37" s="10"/>
    </row>
    <row r="38" spans="1:12" ht="12.75">
      <c r="A38" s="128"/>
      <c r="B38" s="129"/>
      <c r="C38" s="129"/>
      <c r="D38" s="130"/>
      <c r="E38" s="128"/>
      <c r="F38" s="129"/>
      <c r="G38" s="129"/>
      <c r="H38" s="169"/>
      <c r="I38" s="170"/>
      <c r="J38" s="10"/>
      <c r="K38" s="10"/>
      <c r="L38" s="10"/>
    </row>
    <row r="39" spans="1:12" ht="12.75">
      <c r="A39" s="98"/>
      <c r="B39" s="30"/>
      <c r="C39" s="31"/>
      <c r="D39" s="32"/>
      <c r="E39" s="16"/>
      <c r="F39" s="31"/>
      <c r="G39" s="32"/>
      <c r="H39" s="16"/>
      <c r="I39" s="90"/>
      <c r="J39" s="10"/>
      <c r="K39" s="10"/>
      <c r="L39" s="10"/>
    </row>
    <row r="40" spans="1:12" ht="12.75">
      <c r="A40" s="128"/>
      <c r="B40" s="129"/>
      <c r="C40" s="129"/>
      <c r="D40" s="130"/>
      <c r="E40" s="128"/>
      <c r="F40" s="129"/>
      <c r="G40" s="129"/>
      <c r="H40" s="169"/>
      <c r="I40" s="170"/>
      <c r="J40" s="10"/>
      <c r="K40" s="10"/>
      <c r="L40" s="10"/>
    </row>
    <row r="41" spans="1:12" ht="12.75">
      <c r="A41" s="120"/>
      <c r="B41" s="33"/>
      <c r="C41" s="33"/>
      <c r="D41" s="33"/>
      <c r="E41" s="23"/>
      <c r="F41" s="121"/>
      <c r="G41" s="121"/>
      <c r="H41" s="122"/>
      <c r="I41" s="99"/>
      <c r="J41" s="10"/>
      <c r="K41" s="10"/>
      <c r="L41" s="10"/>
    </row>
    <row r="42" spans="1:12" ht="12.75">
      <c r="A42" s="98"/>
      <c r="B42" s="30"/>
      <c r="C42" s="31"/>
      <c r="D42" s="32"/>
      <c r="E42" s="16"/>
      <c r="F42" s="31"/>
      <c r="G42" s="32"/>
      <c r="H42" s="16"/>
      <c r="I42" s="90"/>
      <c r="J42" s="10"/>
      <c r="K42" s="10"/>
      <c r="L42" s="10"/>
    </row>
    <row r="43" spans="1:12" ht="12.75">
      <c r="A43" s="100"/>
      <c r="B43" s="34"/>
      <c r="C43" s="34"/>
      <c r="D43" s="20"/>
      <c r="E43" s="20"/>
      <c r="F43" s="34"/>
      <c r="G43" s="20"/>
      <c r="H43" s="20"/>
      <c r="I43" s="101"/>
      <c r="J43" s="10"/>
      <c r="K43" s="10"/>
      <c r="L43" s="10"/>
    </row>
    <row r="44" spans="1:12" ht="12.75">
      <c r="A44" s="149" t="s">
        <v>232</v>
      </c>
      <c r="B44" s="183"/>
      <c r="C44" s="169"/>
      <c r="D44" s="170"/>
      <c r="E44" s="26"/>
      <c r="F44" s="184"/>
      <c r="G44" s="129"/>
      <c r="H44" s="129"/>
      <c r="I44" s="130"/>
      <c r="J44" s="10"/>
      <c r="K44" s="10"/>
      <c r="L44" s="10"/>
    </row>
    <row r="45" spans="1:12" ht="12.75">
      <c r="A45" s="98"/>
      <c r="B45" s="30"/>
      <c r="C45" s="175"/>
      <c r="D45" s="176"/>
      <c r="E45" s="16"/>
      <c r="F45" s="175"/>
      <c r="G45" s="177"/>
      <c r="H45" s="35"/>
      <c r="I45" s="102"/>
      <c r="J45" s="10"/>
      <c r="K45" s="10"/>
      <c r="L45" s="10"/>
    </row>
    <row r="46" spans="1:12" ht="12.75">
      <c r="A46" s="149" t="s">
        <v>233</v>
      </c>
      <c r="B46" s="183"/>
      <c r="C46" s="147" t="s">
        <v>296</v>
      </c>
      <c r="D46" s="178"/>
      <c r="E46" s="178"/>
      <c r="F46" s="178"/>
      <c r="G46" s="178"/>
      <c r="H46" s="178"/>
      <c r="I46" s="178"/>
      <c r="J46" s="10"/>
      <c r="K46" s="10"/>
      <c r="L46" s="10"/>
    </row>
    <row r="47" spans="1:12" ht="12.75">
      <c r="A47" s="89"/>
      <c r="B47" s="22"/>
      <c r="C47" s="21" t="s">
        <v>234</v>
      </c>
      <c r="D47" s="16"/>
      <c r="E47" s="16"/>
      <c r="F47" s="16"/>
      <c r="G47" s="16"/>
      <c r="H47" s="16"/>
      <c r="I47" s="90"/>
      <c r="J47" s="10"/>
      <c r="K47" s="10"/>
      <c r="L47" s="10"/>
    </row>
    <row r="48" spans="1:12" ht="12.75">
      <c r="A48" s="149" t="s">
        <v>235</v>
      </c>
      <c r="B48" s="183"/>
      <c r="C48" s="185" t="s">
        <v>297</v>
      </c>
      <c r="D48" s="186"/>
      <c r="E48" s="187"/>
      <c r="F48" s="16"/>
      <c r="G48" s="48" t="s">
        <v>236</v>
      </c>
      <c r="H48" s="188" t="s">
        <v>298</v>
      </c>
      <c r="I48" s="189"/>
      <c r="J48" s="10"/>
      <c r="K48" s="10"/>
      <c r="L48" s="10"/>
    </row>
    <row r="49" spans="1:12" ht="12.75">
      <c r="A49" s="89"/>
      <c r="B49" s="22"/>
      <c r="C49" s="21"/>
      <c r="D49" s="16"/>
      <c r="E49" s="16"/>
      <c r="F49" s="16"/>
      <c r="G49" s="16"/>
      <c r="H49" s="16"/>
      <c r="I49" s="90"/>
      <c r="J49" s="10"/>
      <c r="K49" s="10"/>
      <c r="L49" s="10"/>
    </row>
    <row r="50" spans="1:12" ht="12.75">
      <c r="A50" s="149" t="s">
        <v>222</v>
      </c>
      <c r="B50" s="183"/>
      <c r="C50" s="192" t="s">
        <v>291</v>
      </c>
      <c r="D50" s="193"/>
      <c r="E50" s="193"/>
      <c r="F50" s="193"/>
      <c r="G50" s="193"/>
      <c r="H50" s="193"/>
      <c r="I50" s="189"/>
      <c r="J50" s="10"/>
      <c r="K50" s="10"/>
      <c r="L50" s="10"/>
    </row>
    <row r="51" spans="1:12" ht="12.75">
      <c r="A51" s="89"/>
      <c r="B51" s="22"/>
      <c r="C51" s="16"/>
      <c r="D51" s="16"/>
      <c r="E51" s="16"/>
      <c r="F51" s="16"/>
      <c r="G51" s="16"/>
      <c r="H51" s="16"/>
      <c r="I51" s="90"/>
      <c r="J51" s="10"/>
      <c r="K51" s="10"/>
      <c r="L51" s="10"/>
    </row>
    <row r="52" spans="1:12" ht="12.75">
      <c r="A52" s="160" t="s">
        <v>237</v>
      </c>
      <c r="B52" s="161"/>
      <c r="C52" s="188" t="s">
        <v>299</v>
      </c>
      <c r="D52" s="193"/>
      <c r="E52" s="193"/>
      <c r="F52" s="193"/>
      <c r="G52" s="193"/>
      <c r="H52" s="193"/>
      <c r="I52" s="142"/>
      <c r="J52" s="10"/>
      <c r="K52" s="10"/>
      <c r="L52" s="10"/>
    </row>
    <row r="53" spans="1:12" ht="12.75">
      <c r="A53" s="103"/>
      <c r="B53" s="20"/>
      <c r="C53" s="179" t="s">
        <v>238</v>
      </c>
      <c r="D53" s="179"/>
      <c r="E53" s="179"/>
      <c r="F53" s="179"/>
      <c r="G53" s="179"/>
      <c r="H53" s="179"/>
      <c r="I53" s="104"/>
      <c r="J53" s="10"/>
      <c r="K53" s="10"/>
      <c r="L53" s="10"/>
    </row>
    <row r="54" spans="1:12" ht="12.75">
      <c r="A54" s="103"/>
      <c r="B54" s="20"/>
      <c r="C54" s="36"/>
      <c r="D54" s="36"/>
      <c r="E54" s="36"/>
      <c r="F54" s="36"/>
      <c r="G54" s="36"/>
      <c r="H54" s="36"/>
      <c r="I54" s="104"/>
      <c r="J54" s="10"/>
      <c r="K54" s="10"/>
      <c r="L54" s="10"/>
    </row>
    <row r="55" spans="1:12" ht="12.75">
      <c r="A55" s="103"/>
      <c r="B55" s="194" t="s">
        <v>239</v>
      </c>
      <c r="C55" s="195"/>
      <c r="D55" s="195"/>
      <c r="E55" s="195"/>
      <c r="F55" s="46"/>
      <c r="G55" s="46"/>
      <c r="H55" s="46"/>
      <c r="I55" s="105"/>
      <c r="J55" s="10"/>
      <c r="K55" s="10"/>
      <c r="L55" s="10"/>
    </row>
    <row r="56" spans="1:12" ht="12.75">
      <c r="A56" s="103"/>
      <c r="B56" s="196" t="s">
        <v>270</v>
      </c>
      <c r="C56" s="197"/>
      <c r="D56" s="197"/>
      <c r="E56" s="197"/>
      <c r="F56" s="197"/>
      <c r="G56" s="197"/>
      <c r="H56" s="197"/>
      <c r="I56" s="198"/>
      <c r="J56" s="10"/>
      <c r="K56" s="10"/>
      <c r="L56" s="10"/>
    </row>
    <row r="57" spans="1:12" ht="12.75">
      <c r="A57" s="103"/>
      <c r="B57" s="196" t="s">
        <v>271</v>
      </c>
      <c r="C57" s="197"/>
      <c r="D57" s="197"/>
      <c r="E57" s="197"/>
      <c r="F57" s="197"/>
      <c r="G57" s="197"/>
      <c r="H57" s="197"/>
      <c r="I57" s="105"/>
      <c r="J57" s="10"/>
      <c r="K57" s="10"/>
      <c r="L57" s="10"/>
    </row>
    <row r="58" spans="1:12" ht="12.75">
      <c r="A58" s="103"/>
      <c r="B58" s="196" t="s">
        <v>272</v>
      </c>
      <c r="C58" s="197"/>
      <c r="D58" s="197"/>
      <c r="E58" s="197"/>
      <c r="F58" s="197"/>
      <c r="G58" s="197"/>
      <c r="H58" s="197"/>
      <c r="I58" s="198"/>
      <c r="J58" s="10"/>
      <c r="K58" s="10"/>
      <c r="L58" s="10"/>
    </row>
    <row r="59" spans="1:12" ht="12.75">
      <c r="A59" s="103"/>
      <c r="B59" s="196" t="s">
        <v>273</v>
      </c>
      <c r="C59" s="197"/>
      <c r="D59" s="197"/>
      <c r="E59" s="197"/>
      <c r="F59" s="197"/>
      <c r="G59" s="197"/>
      <c r="H59" s="197"/>
      <c r="I59" s="198"/>
      <c r="J59" s="10"/>
      <c r="K59" s="10"/>
      <c r="L59" s="10"/>
    </row>
    <row r="60" spans="1:12" ht="12.75">
      <c r="A60" s="103"/>
      <c r="B60" s="106"/>
      <c r="C60" s="107"/>
      <c r="D60" s="107"/>
      <c r="E60" s="107"/>
      <c r="F60" s="107"/>
      <c r="G60" s="107"/>
      <c r="H60" s="107"/>
      <c r="I60" s="108"/>
      <c r="J60" s="10"/>
      <c r="K60" s="10"/>
      <c r="L60" s="10"/>
    </row>
    <row r="61" spans="1:12" ht="13.5" thickBot="1">
      <c r="A61" s="109" t="s">
        <v>240</v>
      </c>
      <c r="B61" s="16"/>
      <c r="C61" s="16"/>
      <c r="D61" s="16"/>
      <c r="E61" s="16"/>
      <c r="F61" s="16"/>
      <c r="G61" s="37"/>
      <c r="H61" s="38"/>
      <c r="I61" s="110"/>
      <c r="J61" s="10"/>
      <c r="K61" s="10"/>
      <c r="L61" s="10"/>
    </row>
    <row r="62" spans="1:12" ht="12.75">
      <c r="A62" s="85"/>
      <c r="B62" s="16"/>
      <c r="C62" s="16"/>
      <c r="D62" s="16"/>
      <c r="E62" s="20" t="s">
        <v>241</v>
      </c>
      <c r="F62" s="33"/>
      <c r="G62" s="180" t="s">
        <v>242</v>
      </c>
      <c r="H62" s="181"/>
      <c r="I62" s="182"/>
      <c r="J62" s="10"/>
      <c r="K62" s="10"/>
      <c r="L62" s="10"/>
    </row>
    <row r="63" spans="1:12" ht="12.75">
      <c r="A63" s="111"/>
      <c r="B63" s="112"/>
      <c r="C63" s="113"/>
      <c r="D63" s="113"/>
      <c r="E63" s="113"/>
      <c r="F63" s="113"/>
      <c r="G63" s="190"/>
      <c r="H63" s="191"/>
      <c r="I63" s="114"/>
      <c r="J63" s="10"/>
      <c r="K63" s="10"/>
      <c r="L63" s="10"/>
    </row>
  </sheetData>
  <sheetProtection/>
  <protectedRanges>
    <protectedRange sqref="E2 H2 A34:D34 A32:I32 A30:I30 I24 I26 C26 C22 C24" name="Range1"/>
    <protectedRange sqref="C6:D6" name="Range1_1"/>
    <protectedRange sqref="C8:D8" name="Range1_1_1"/>
    <protectedRange sqref="C10:D10" name="Range1_2"/>
    <protectedRange sqref="C12:I12" name="Range1_1_1_1"/>
    <protectedRange sqref="C14:D14" name="Range1_3"/>
    <protectedRange sqref="C16:I16" name="Range1_5"/>
    <protectedRange sqref="C18:I18" name="Range1_2_1"/>
    <protectedRange sqref="C20:I20" name="Range1_3_1_1"/>
    <protectedRange sqref="D22:F22" name="Range1_7"/>
    <protectedRange sqref="D24:G24" name="Range1_4_2"/>
  </protectedRanges>
  <mergeCells count="72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C53:H53"/>
    <mergeCell ref="G62:I62"/>
    <mergeCell ref="A46:B46"/>
    <mergeCell ref="A44:B44"/>
    <mergeCell ref="C44:D44"/>
    <mergeCell ref="F44:I44"/>
    <mergeCell ref="A48:B48"/>
    <mergeCell ref="C48:E48"/>
    <mergeCell ref="H48:I48"/>
    <mergeCell ref="A1:C1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D31:G31"/>
    <mergeCell ref="A32:D32"/>
    <mergeCell ref="E32:G32"/>
    <mergeCell ref="H32:I32"/>
    <mergeCell ref="A28:D28"/>
    <mergeCell ref="E28:G28"/>
    <mergeCell ref="H28:I28"/>
    <mergeCell ref="A30:D30"/>
    <mergeCell ref="E30:G30"/>
    <mergeCell ref="H30:I30"/>
    <mergeCell ref="A24:B24"/>
    <mergeCell ref="D24:G24"/>
    <mergeCell ref="A26:B26"/>
    <mergeCell ref="G26:H26"/>
    <mergeCell ref="A20:B20"/>
    <mergeCell ref="C20:I20"/>
    <mergeCell ref="A22:B22"/>
    <mergeCell ref="D22:F22"/>
    <mergeCell ref="G22:H22"/>
    <mergeCell ref="A16:B16"/>
    <mergeCell ref="C16:I16"/>
    <mergeCell ref="A18:B18"/>
    <mergeCell ref="C18:I18"/>
    <mergeCell ref="A12:B12"/>
    <mergeCell ref="C12:I12"/>
    <mergeCell ref="A14:B14"/>
    <mergeCell ref="C14:D14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hotelimaestral@hotelimaestral.com"/>
    <hyperlink ref="C20" r:id="rId2" display="www.hotelimaestral"/>
    <hyperlink ref="C50" r:id="rId3" display="hotelimaestral@hotelimaestral.com"/>
  </hyperlinks>
  <printOptions horizontalCentered="1" verticalCentered="1"/>
  <pageMargins left="0.7480314960629921" right="0.7480314960629921" top="0.3937007874015748" bottom="0.3937007874015748" header="0.5118110236220472" footer="0.5118110236220472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1">
      <selection activeCell="A7" sqref="A7:K120"/>
    </sheetView>
  </sheetViews>
  <sheetFormatPr defaultColWidth="9.140625" defaultRowHeight="12.75"/>
  <cols>
    <col min="1" max="9" width="9.140625" style="49" customWidth="1"/>
    <col min="10" max="10" width="9.57421875" style="49" customWidth="1"/>
    <col min="11" max="11" width="9.8515625" style="49" bestFit="1" customWidth="1"/>
    <col min="12" max="16384" width="9.140625" style="49" customWidth="1"/>
  </cols>
  <sheetData>
    <row r="1" spans="1:11" ht="12.75" customHeight="1">
      <c r="A1" s="236" t="s">
        <v>127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</row>
    <row r="2" spans="1:11" ht="12.75" customHeight="1">
      <c r="A2" s="237" t="s">
        <v>300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</row>
    <row r="3" spans="1:11" ht="12.75">
      <c r="A3" s="238" t="s">
        <v>312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</row>
    <row r="4" spans="1:11" ht="33.75">
      <c r="A4" s="239" t="s">
        <v>39</v>
      </c>
      <c r="B4" s="240"/>
      <c r="C4" s="240"/>
      <c r="D4" s="240"/>
      <c r="E4" s="240"/>
      <c r="F4" s="240"/>
      <c r="G4" s="240"/>
      <c r="H4" s="241"/>
      <c r="I4" s="55" t="s">
        <v>243</v>
      </c>
      <c r="J4" s="56" t="s">
        <v>301</v>
      </c>
      <c r="K4" s="57" t="s">
        <v>307</v>
      </c>
    </row>
    <row r="5" spans="1:11" ht="12.75">
      <c r="A5" s="232">
        <v>1</v>
      </c>
      <c r="B5" s="232"/>
      <c r="C5" s="232"/>
      <c r="D5" s="232"/>
      <c r="E5" s="232"/>
      <c r="F5" s="232"/>
      <c r="G5" s="232"/>
      <c r="H5" s="232"/>
      <c r="I5" s="54">
        <v>2</v>
      </c>
      <c r="J5" s="53">
        <v>3</v>
      </c>
      <c r="K5" s="53">
        <v>4</v>
      </c>
    </row>
    <row r="6" spans="1:11" ht="12.75">
      <c r="A6" s="233"/>
      <c r="B6" s="234"/>
      <c r="C6" s="234"/>
      <c r="D6" s="234"/>
      <c r="E6" s="234"/>
      <c r="F6" s="234"/>
      <c r="G6" s="234"/>
      <c r="H6" s="234"/>
      <c r="I6" s="234"/>
      <c r="J6" s="234"/>
      <c r="K6" s="235"/>
    </row>
    <row r="7" spans="1:11" ht="12.75">
      <c r="A7" s="208" t="s">
        <v>40</v>
      </c>
      <c r="B7" s="209"/>
      <c r="C7" s="209"/>
      <c r="D7" s="209"/>
      <c r="E7" s="209"/>
      <c r="F7" s="209"/>
      <c r="G7" s="209"/>
      <c r="H7" s="226"/>
      <c r="I7" s="3">
        <v>1</v>
      </c>
      <c r="J7" s="6"/>
      <c r="K7" s="6"/>
    </row>
    <row r="8" spans="1:11" ht="12.75">
      <c r="A8" s="215" t="s">
        <v>10</v>
      </c>
      <c r="B8" s="216"/>
      <c r="C8" s="216"/>
      <c r="D8" s="216"/>
      <c r="E8" s="216"/>
      <c r="F8" s="216"/>
      <c r="G8" s="216"/>
      <c r="H8" s="217"/>
      <c r="I8" s="1">
        <v>2</v>
      </c>
      <c r="J8" s="50">
        <f>J9+J16+J26+J35+J39</f>
        <v>210048123</v>
      </c>
      <c r="K8" s="50">
        <f>K9+K16+K26+K35+K39</f>
        <v>204543890</v>
      </c>
    </row>
    <row r="9" spans="1:11" ht="12.75">
      <c r="A9" s="212" t="s">
        <v>170</v>
      </c>
      <c r="B9" s="213"/>
      <c r="C9" s="213"/>
      <c r="D9" s="213"/>
      <c r="E9" s="213"/>
      <c r="F9" s="213"/>
      <c r="G9" s="213"/>
      <c r="H9" s="214"/>
      <c r="I9" s="1">
        <v>3</v>
      </c>
      <c r="J9" s="50">
        <f>SUM(J10:J15)</f>
        <v>184569</v>
      </c>
      <c r="K9" s="50">
        <f>SUM(K10:K15)</f>
        <v>124697</v>
      </c>
    </row>
    <row r="10" spans="1:11" ht="12.75">
      <c r="A10" s="212" t="s">
        <v>88</v>
      </c>
      <c r="B10" s="213"/>
      <c r="C10" s="213"/>
      <c r="D10" s="213"/>
      <c r="E10" s="213"/>
      <c r="F10" s="213"/>
      <c r="G10" s="213"/>
      <c r="H10" s="214"/>
      <c r="I10" s="1">
        <v>4</v>
      </c>
      <c r="J10" s="7"/>
      <c r="K10" s="7"/>
    </row>
    <row r="11" spans="1:11" ht="12.75">
      <c r="A11" s="212" t="s">
        <v>11</v>
      </c>
      <c r="B11" s="213"/>
      <c r="C11" s="213"/>
      <c r="D11" s="213"/>
      <c r="E11" s="213"/>
      <c r="F11" s="213"/>
      <c r="G11" s="213"/>
      <c r="H11" s="214"/>
      <c r="I11" s="1">
        <v>5</v>
      </c>
      <c r="J11" s="7">
        <v>184569</v>
      </c>
      <c r="K11" s="7">
        <v>124697</v>
      </c>
    </row>
    <row r="12" spans="1:11" ht="12.75">
      <c r="A12" s="212" t="s">
        <v>89</v>
      </c>
      <c r="B12" s="213"/>
      <c r="C12" s="213"/>
      <c r="D12" s="213"/>
      <c r="E12" s="213"/>
      <c r="F12" s="213"/>
      <c r="G12" s="213"/>
      <c r="H12" s="214"/>
      <c r="I12" s="1">
        <v>6</v>
      </c>
      <c r="J12" s="7"/>
      <c r="K12" s="7"/>
    </row>
    <row r="13" spans="1:11" ht="12.75">
      <c r="A13" s="212" t="s">
        <v>173</v>
      </c>
      <c r="B13" s="213"/>
      <c r="C13" s="213"/>
      <c r="D13" s="213"/>
      <c r="E13" s="213"/>
      <c r="F13" s="213"/>
      <c r="G13" s="213"/>
      <c r="H13" s="214"/>
      <c r="I13" s="1">
        <v>7</v>
      </c>
      <c r="J13" s="7"/>
      <c r="K13" s="7"/>
    </row>
    <row r="14" spans="1:11" ht="12.75">
      <c r="A14" s="212" t="s">
        <v>174</v>
      </c>
      <c r="B14" s="213"/>
      <c r="C14" s="213"/>
      <c r="D14" s="213"/>
      <c r="E14" s="213"/>
      <c r="F14" s="213"/>
      <c r="G14" s="213"/>
      <c r="H14" s="214"/>
      <c r="I14" s="1">
        <v>8</v>
      </c>
      <c r="J14" s="7"/>
      <c r="K14" s="7"/>
    </row>
    <row r="15" spans="1:11" ht="12.75">
      <c r="A15" s="212" t="s">
        <v>175</v>
      </c>
      <c r="B15" s="213"/>
      <c r="C15" s="213"/>
      <c r="D15" s="213"/>
      <c r="E15" s="213"/>
      <c r="F15" s="213"/>
      <c r="G15" s="213"/>
      <c r="H15" s="214"/>
      <c r="I15" s="1">
        <v>9</v>
      </c>
      <c r="J15" s="7"/>
      <c r="K15" s="7"/>
    </row>
    <row r="16" spans="1:11" ht="12.75">
      <c r="A16" s="212" t="s">
        <v>171</v>
      </c>
      <c r="B16" s="213"/>
      <c r="C16" s="213"/>
      <c r="D16" s="213"/>
      <c r="E16" s="213"/>
      <c r="F16" s="213"/>
      <c r="G16" s="213"/>
      <c r="H16" s="214"/>
      <c r="I16" s="1">
        <v>10</v>
      </c>
      <c r="J16" s="50">
        <f>SUM(J17:J25)</f>
        <v>209597669</v>
      </c>
      <c r="K16" s="50">
        <f>SUM(K17:K25)</f>
        <v>204153308</v>
      </c>
    </row>
    <row r="17" spans="1:11" ht="12.75">
      <c r="A17" s="212" t="s">
        <v>176</v>
      </c>
      <c r="B17" s="213"/>
      <c r="C17" s="213"/>
      <c r="D17" s="213"/>
      <c r="E17" s="213"/>
      <c r="F17" s="213"/>
      <c r="G17" s="213"/>
      <c r="H17" s="214"/>
      <c r="I17" s="1">
        <v>11</v>
      </c>
      <c r="J17" s="7">
        <v>137089765</v>
      </c>
      <c r="K17" s="7">
        <v>137089765</v>
      </c>
    </row>
    <row r="18" spans="1:11" ht="12.75">
      <c r="A18" s="212" t="s">
        <v>212</v>
      </c>
      <c r="B18" s="213"/>
      <c r="C18" s="213"/>
      <c r="D18" s="213"/>
      <c r="E18" s="213"/>
      <c r="F18" s="213"/>
      <c r="G18" s="213"/>
      <c r="H18" s="214"/>
      <c r="I18" s="1">
        <v>12</v>
      </c>
      <c r="J18" s="7">
        <f>149131202-93626448-1082582-1993722-1</f>
        <v>52428449</v>
      </c>
      <c r="K18" s="7">
        <f>149131202-94854249-1114934-2052369</f>
        <v>51109650</v>
      </c>
    </row>
    <row r="19" spans="1:11" ht="12.75">
      <c r="A19" s="212" t="s">
        <v>177</v>
      </c>
      <c r="B19" s="213"/>
      <c r="C19" s="213"/>
      <c r="D19" s="213"/>
      <c r="E19" s="213"/>
      <c r="F19" s="213"/>
      <c r="G19" s="213"/>
      <c r="H19" s="214"/>
      <c r="I19" s="1">
        <v>13</v>
      </c>
      <c r="J19" s="7">
        <f>25221691-1192065-92641-5096063-1878626-7269963-3262480-391524</f>
        <v>6038329</v>
      </c>
      <c r="K19" s="7">
        <f>25245228-1261581-96440-5212851-1910342-7319587-3434112-421099</f>
        <v>5589216</v>
      </c>
    </row>
    <row r="20" spans="1:11" ht="12.75">
      <c r="A20" s="212" t="s">
        <v>21</v>
      </c>
      <c r="B20" s="213"/>
      <c r="C20" s="213"/>
      <c r="D20" s="213"/>
      <c r="E20" s="213"/>
      <c r="F20" s="213"/>
      <c r="G20" s="213"/>
      <c r="H20" s="214"/>
      <c r="I20" s="1">
        <v>14</v>
      </c>
      <c r="J20" s="7">
        <f>19316388-964073-30608-14958498-1743776-208602-456339-1</f>
        <v>954491</v>
      </c>
      <c r="K20" s="7">
        <f>19342708-1015294-30944-15031094-1745290-226757-458979</f>
        <v>834350</v>
      </c>
    </row>
    <row r="21" spans="1:11" ht="12.75">
      <c r="A21" s="212" t="s">
        <v>22</v>
      </c>
      <c r="B21" s="213"/>
      <c r="C21" s="213"/>
      <c r="D21" s="213"/>
      <c r="E21" s="213"/>
      <c r="F21" s="213"/>
      <c r="G21" s="213"/>
      <c r="H21" s="214"/>
      <c r="I21" s="1">
        <v>15</v>
      </c>
      <c r="J21" s="7"/>
      <c r="K21" s="7"/>
    </row>
    <row r="22" spans="1:11" ht="12.75">
      <c r="A22" s="212" t="s">
        <v>48</v>
      </c>
      <c r="B22" s="213"/>
      <c r="C22" s="213"/>
      <c r="D22" s="213"/>
      <c r="E22" s="213"/>
      <c r="F22" s="213"/>
      <c r="G22" s="213"/>
      <c r="H22" s="214"/>
      <c r="I22" s="1">
        <v>16</v>
      </c>
      <c r="J22" s="7"/>
      <c r="K22" s="7"/>
    </row>
    <row r="23" spans="1:11" ht="12.75">
      <c r="A23" s="212" t="s">
        <v>49</v>
      </c>
      <c r="B23" s="213"/>
      <c r="C23" s="213"/>
      <c r="D23" s="213"/>
      <c r="E23" s="213"/>
      <c r="F23" s="213"/>
      <c r="G23" s="213"/>
      <c r="H23" s="214"/>
      <c r="I23" s="1">
        <v>17</v>
      </c>
      <c r="J23" s="7">
        <v>997100</v>
      </c>
      <c r="K23" s="7">
        <v>1006570</v>
      </c>
    </row>
    <row r="24" spans="1:11" ht="12.75">
      <c r="A24" s="212" t="s">
        <v>50</v>
      </c>
      <c r="B24" s="213"/>
      <c r="C24" s="213"/>
      <c r="D24" s="213"/>
      <c r="E24" s="213"/>
      <c r="F24" s="213"/>
      <c r="G24" s="213"/>
      <c r="H24" s="214"/>
      <c r="I24" s="1">
        <v>18</v>
      </c>
      <c r="J24" s="7">
        <v>361833</v>
      </c>
      <c r="K24" s="7">
        <v>361833</v>
      </c>
    </row>
    <row r="25" spans="1:11" ht="12.75">
      <c r="A25" s="212" t="s">
        <v>51</v>
      </c>
      <c r="B25" s="213"/>
      <c r="C25" s="213"/>
      <c r="D25" s="213"/>
      <c r="E25" s="213"/>
      <c r="F25" s="213"/>
      <c r="G25" s="213"/>
      <c r="H25" s="214"/>
      <c r="I25" s="1">
        <v>19</v>
      </c>
      <c r="J25" s="7">
        <v>11727702</v>
      </c>
      <c r="K25" s="7">
        <v>8161924</v>
      </c>
    </row>
    <row r="26" spans="1:11" ht="12.75">
      <c r="A26" s="212" t="s">
        <v>155</v>
      </c>
      <c r="B26" s="213"/>
      <c r="C26" s="213"/>
      <c r="D26" s="213"/>
      <c r="E26" s="213"/>
      <c r="F26" s="213"/>
      <c r="G26" s="213"/>
      <c r="H26" s="214"/>
      <c r="I26" s="1">
        <v>20</v>
      </c>
      <c r="J26" s="50">
        <f>SUM(J27:J34)</f>
        <v>265885</v>
      </c>
      <c r="K26" s="50">
        <f>SUM(K27:K34)</f>
        <v>265885</v>
      </c>
    </row>
    <row r="27" spans="1:11" ht="12.75">
      <c r="A27" s="212" t="s">
        <v>52</v>
      </c>
      <c r="B27" s="213"/>
      <c r="C27" s="213"/>
      <c r="D27" s="213"/>
      <c r="E27" s="213"/>
      <c r="F27" s="213"/>
      <c r="G27" s="213"/>
      <c r="H27" s="214"/>
      <c r="I27" s="1">
        <v>21</v>
      </c>
      <c r="J27" s="7"/>
      <c r="K27" s="7"/>
    </row>
    <row r="28" spans="1:11" ht="12.75">
      <c r="A28" s="212" t="s">
        <v>53</v>
      </c>
      <c r="B28" s="213"/>
      <c r="C28" s="213"/>
      <c r="D28" s="213"/>
      <c r="E28" s="213"/>
      <c r="F28" s="213"/>
      <c r="G28" s="213"/>
      <c r="H28" s="214"/>
      <c r="I28" s="1">
        <v>22</v>
      </c>
      <c r="J28" s="7"/>
      <c r="K28" s="7"/>
    </row>
    <row r="29" spans="1:11" ht="12.75">
      <c r="A29" s="212" t="s">
        <v>54</v>
      </c>
      <c r="B29" s="213"/>
      <c r="C29" s="213"/>
      <c r="D29" s="213"/>
      <c r="E29" s="213"/>
      <c r="F29" s="213"/>
      <c r="G29" s="213"/>
      <c r="H29" s="214"/>
      <c r="I29" s="1">
        <v>23</v>
      </c>
      <c r="J29" s="7">
        <f>115508+109500+40877</f>
        <v>265885</v>
      </c>
      <c r="K29" s="7">
        <v>265885</v>
      </c>
    </row>
    <row r="30" spans="1:11" ht="12.75">
      <c r="A30" s="212" t="s">
        <v>59</v>
      </c>
      <c r="B30" s="213"/>
      <c r="C30" s="213"/>
      <c r="D30" s="213"/>
      <c r="E30" s="213"/>
      <c r="F30" s="213"/>
      <c r="G30" s="213"/>
      <c r="H30" s="214"/>
      <c r="I30" s="1">
        <v>24</v>
      </c>
      <c r="J30" s="7"/>
      <c r="K30" s="7"/>
    </row>
    <row r="31" spans="1:11" ht="12.75">
      <c r="A31" s="212" t="s">
        <v>60</v>
      </c>
      <c r="B31" s="213"/>
      <c r="C31" s="213"/>
      <c r="D31" s="213"/>
      <c r="E31" s="213"/>
      <c r="F31" s="213"/>
      <c r="G31" s="213"/>
      <c r="H31" s="214"/>
      <c r="I31" s="1">
        <v>25</v>
      </c>
      <c r="J31" s="7"/>
      <c r="K31" s="7"/>
    </row>
    <row r="32" spans="1:11" ht="12.75">
      <c r="A32" s="212" t="s">
        <v>61</v>
      </c>
      <c r="B32" s="213"/>
      <c r="C32" s="213"/>
      <c r="D32" s="213"/>
      <c r="E32" s="213"/>
      <c r="F32" s="213"/>
      <c r="G32" s="213"/>
      <c r="H32" s="214"/>
      <c r="I32" s="1">
        <v>26</v>
      </c>
      <c r="J32" s="7"/>
      <c r="K32" s="7"/>
    </row>
    <row r="33" spans="1:11" ht="12.75">
      <c r="A33" s="212" t="s">
        <v>55</v>
      </c>
      <c r="B33" s="213"/>
      <c r="C33" s="213"/>
      <c r="D33" s="213"/>
      <c r="E33" s="213"/>
      <c r="F33" s="213"/>
      <c r="G33" s="213"/>
      <c r="H33" s="214"/>
      <c r="I33" s="1">
        <v>27</v>
      </c>
      <c r="J33" s="7"/>
      <c r="K33" s="7"/>
    </row>
    <row r="34" spans="1:11" ht="12.75">
      <c r="A34" s="212" t="s">
        <v>148</v>
      </c>
      <c r="B34" s="213"/>
      <c r="C34" s="213"/>
      <c r="D34" s="213"/>
      <c r="E34" s="213"/>
      <c r="F34" s="213"/>
      <c r="G34" s="213"/>
      <c r="H34" s="214"/>
      <c r="I34" s="1">
        <v>28</v>
      </c>
      <c r="J34" s="7"/>
      <c r="K34" s="7"/>
    </row>
    <row r="35" spans="1:11" ht="12.75">
      <c r="A35" s="212" t="s">
        <v>149</v>
      </c>
      <c r="B35" s="213"/>
      <c r="C35" s="213"/>
      <c r="D35" s="213"/>
      <c r="E35" s="213"/>
      <c r="F35" s="213"/>
      <c r="G35" s="213"/>
      <c r="H35" s="214"/>
      <c r="I35" s="1">
        <v>29</v>
      </c>
      <c r="J35" s="50">
        <f>SUM(J36:J38)</f>
        <v>0</v>
      </c>
      <c r="K35" s="50">
        <f>SUM(K36:K38)</f>
        <v>0</v>
      </c>
    </row>
    <row r="36" spans="1:11" ht="12.75">
      <c r="A36" s="212" t="s">
        <v>56</v>
      </c>
      <c r="B36" s="213"/>
      <c r="C36" s="213"/>
      <c r="D36" s="213"/>
      <c r="E36" s="213"/>
      <c r="F36" s="213"/>
      <c r="G36" s="213"/>
      <c r="H36" s="214"/>
      <c r="I36" s="1">
        <v>30</v>
      </c>
      <c r="J36" s="7"/>
      <c r="K36" s="7"/>
    </row>
    <row r="37" spans="1:11" ht="12.75">
      <c r="A37" s="212" t="s">
        <v>57</v>
      </c>
      <c r="B37" s="213"/>
      <c r="C37" s="213"/>
      <c r="D37" s="213"/>
      <c r="E37" s="213"/>
      <c r="F37" s="213"/>
      <c r="G37" s="213"/>
      <c r="H37" s="214"/>
      <c r="I37" s="1">
        <v>31</v>
      </c>
      <c r="J37" s="7"/>
      <c r="K37" s="7"/>
    </row>
    <row r="38" spans="1:11" ht="12.75">
      <c r="A38" s="212" t="s">
        <v>58</v>
      </c>
      <c r="B38" s="213"/>
      <c r="C38" s="213"/>
      <c r="D38" s="213"/>
      <c r="E38" s="213"/>
      <c r="F38" s="213"/>
      <c r="G38" s="213"/>
      <c r="H38" s="214"/>
      <c r="I38" s="1">
        <v>32</v>
      </c>
      <c r="J38" s="7"/>
      <c r="K38" s="7"/>
    </row>
    <row r="39" spans="1:11" ht="12.75">
      <c r="A39" s="212" t="s">
        <v>150</v>
      </c>
      <c r="B39" s="213"/>
      <c r="C39" s="213"/>
      <c r="D39" s="213"/>
      <c r="E39" s="213"/>
      <c r="F39" s="213"/>
      <c r="G39" s="213"/>
      <c r="H39" s="214"/>
      <c r="I39" s="1">
        <v>33</v>
      </c>
      <c r="J39" s="7"/>
      <c r="K39" s="7"/>
    </row>
    <row r="40" spans="1:11" ht="12.75">
      <c r="A40" s="215" t="s">
        <v>205</v>
      </c>
      <c r="B40" s="216"/>
      <c r="C40" s="216"/>
      <c r="D40" s="216"/>
      <c r="E40" s="216"/>
      <c r="F40" s="216"/>
      <c r="G40" s="216"/>
      <c r="H40" s="217"/>
      <c r="I40" s="1">
        <v>34</v>
      </c>
      <c r="J40" s="50">
        <f>J41+J49+J56+J64</f>
        <v>8753880</v>
      </c>
      <c r="K40" s="50">
        <f>K41+K49+K56+K64</f>
        <v>12469357</v>
      </c>
    </row>
    <row r="41" spans="1:11" ht="12.75">
      <c r="A41" s="212" t="s">
        <v>76</v>
      </c>
      <c r="B41" s="213"/>
      <c r="C41" s="213"/>
      <c r="D41" s="213"/>
      <c r="E41" s="213"/>
      <c r="F41" s="213"/>
      <c r="G41" s="213"/>
      <c r="H41" s="214"/>
      <c r="I41" s="1">
        <v>35</v>
      </c>
      <c r="J41" s="50">
        <f>SUM(J42:J48)</f>
        <v>776484</v>
      </c>
      <c r="K41" s="50">
        <f>SUM(K42:K48)</f>
        <v>996321</v>
      </c>
    </row>
    <row r="42" spans="1:11" ht="12.75">
      <c r="A42" s="212" t="s">
        <v>91</v>
      </c>
      <c r="B42" s="213"/>
      <c r="C42" s="213"/>
      <c r="D42" s="213"/>
      <c r="E42" s="213"/>
      <c r="F42" s="213"/>
      <c r="G42" s="213"/>
      <c r="H42" s="214"/>
      <c r="I42" s="1">
        <v>36</v>
      </c>
      <c r="J42" s="7">
        <f>773594-27771</f>
        <v>745823</v>
      </c>
      <c r="K42" s="7">
        <f>1025865-10375-46082</f>
        <v>969408</v>
      </c>
    </row>
    <row r="43" spans="1:11" ht="12.75">
      <c r="A43" s="212" t="s">
        <v>92</v>
      </c>
      <c r="B43" s="213"/>
      <c r="C43" s="213"/>
      <c r="D43" s="213"/>
      <c r="E43" s="213"/>
      <c r="F43" s="213"/>
      <c r="G43" s="213"/>
      <c r="H43" s="214"/>
      <c r="I43" s="1">
        <v>37</v>
      </c>
      <c r="J43" s="7"/>
      <c r="K43" s="7"/>
    </row>
    <row r="44" spans="1:11" ht="12.75">
      <c r="A44" s="212" t="s">
        <v>62</v>
      </c>
      <c r="B44" s="213"/>
      <c r="C44" s="213"/>
      <c r="D44" s="213"/>
      <c r="E44" s="213"/>
      <c r="F44" s="213"/>
      <c r="G44" s="213"/>
      <c r="H44" s="214"/>
      <c r="I44" s="1">
        <v>38</v>
      </c>
      <c r="J44" s="7"/>
      <c r="K44" s="7"/>
    </row>
    <row r="45" spans="1:11" ht="12.75">
      <c r="A45" s="212" t="s">
        <v>63</v>
      </c>
      <c r="B45" s="213"/>
      <c r="C45" s="213"/>
      <c r="D45" s="213"/>
      <c r="E45" s="213"/>
      <c r="F45" s="213"/>
      <c r="G45" s="213"/>
      <c r="H45" s="214"/>
      <c r="I45" s="1">
        <v>39</v>
      </c>
      <c r="J45" s="7">
        <v>2890</v>
      </c>
      <c r="K45" s="7">
        <v>16538</v>
      </c>
    </row>
    <row r="46" spans="1:11" ht="12.75">
      <c r="A46" s="212" t="s">
        <v>64</v>
      </c>
      <c r="B46" s="213"/>
      <c r="C46" s="213"/>
      <c r="D46" s="213"/>
      <c r="E46" s="213"/>
      <c r="F46" s="213"/>
      <c r="G46" s="213"/>
      <c r="H46" s="214"/>
      <c r="I46" s="1">
        <v>40</v>
      </c>
      <c r="J46" s="7">
        <v>27771</v>
      </c>
      <c r="K46" s="7">
        <v>10375</v>
      </c>
    </row>
    <row r="47" spans="1:11" ht="12.75">
      <c r="A47" s="212" t="s">
        <v>65</v>
      </c>
      <c r="B47" s="213"/>
      <c r="C47" s="213"/>
      <c r="D47" s="213"/>
      <c r="E47" s="213"/>
      <c r="F47" s="213"/>
      <c r="G47" s="213"/>
      <c r="H47" s="214"/>
      <c r="I47" s="1">
        <v>41</v>
      </c>
      <c r="J47" s="7"/>
      <c r="K47" s="7"/>
    </row>
    <row r="48" spans="1:11" ht="12.75">
      <c r="A48" s="212" t="s">
        <v>66</v>
      </c>
      <c r="B48" s="213"/>
      <c r="C48" s="213"/>
      <c r="D48" s="213"/>
      <c r="E48" s="213"/>
      <c r="F48" s="213"/>
      <c r="G48" s="213"/>
      <c r="H48" s="214"/>
      <c r="I48" s="1">
        <v>42</v>
      </c>
      <c r="J48" s="7"/>
      <c r="K48" s="7"/>
    </row>
    <row r="49" spans="1:11" ht="12.75">
      <c r="A49" s="212" t="s">
        <v>77</v>
      </c>
      <c r="B49" s="213"/>
      <c r="C49" s="213"/>
      <c r="D49" s="213"/>
      <c r="E49" s="213"/>
      <c r="F49" s="213"/>
      <c r="G49" s="213"/>
      <c r="H49" s="214"/>
      <c r="I49" s="1">
        <v>43</v>
      </c>
      <c r="J49" s="50">
        <f>SUM(J50:J55)</f>
        <v>2686197</v>
      </c>
      <c r="K49" s="50">
        <f>SUM(K50:K55)</f>
        <v>8042566</v>
      </c>
    </row>
    <row r="50" spans="1:11" ht="12.75">
      <c r="A50" s="212" t="s">
        <v>165</v>
      </c>
      <c r="B50" s="213"/>
      <c r="C50" s="213"/>
      <c r="D50" s="213"/>
      <c r="E50" s="213"/>
      <c r="F50" s="213"/>
      <c r="G50" s="213"/>
      <c r="H50" s="214"/>
      <c r="I50" s="1">
        <v>44</v>
      </c>
      <c r="J50" s="7"/>
      <c r="K50" s="7"/>
    </row>
    <row r="51" spans="1:11" ht="12.75">
      <c r="A51" s="212" t="s">
        <v>166</v>
      </c>
      <c r="B51" s="213"/>
      <c r="C51" s="213"/>
      <c r="D51" s="213"/>
      <c r="E51" s="213"/>
      <c r="F51" s="213"/>
      <c r="G51" s="213"/>
      <c r="H51" s="214"/>
      <c r="I51" s="1">
        <v>45</v>
      </c>
      <c r="J51" s="7">
        <v>639107</v>
      </c>
      <c r="K51" s="7">
        <v>5887166</v>
      </c>
    </row>
    <row r="52" spans="1:11" ht="12.75">
      <c r="A52" s="212" t="s">
        <v>167</v>
      </c>
      <c r="B52" s="213"/>
      <c r="C52" s="213"/>
      <c r="D52" s="213"/>
      <c r="E52" s="213"/>
      <c r="F52" s="213"/>
      <c r="G52" s="213"/>
      <c r="H52" s="214"/>
      <c r="I52" s="1">
        <v>46</v>
      </c>
      <c r="J52" s="7"/>
      <c r="K52" s="7"/>
    </row>
    <row r="53" spans="1:11" ht="12.75">
      <c r="A53" s="212" t="s">
        <v>168</v>
      </c>
      <c r="B53" s="213"/>
      <c r="C53" s="213"/>
      <c r="D53" s="213"/>
      <c r="E53" s="213"/>
      <c r="F53" s="213"/>
      <c r="G53" s="213"/>
      <c r="H53" s="214"/>
      <c r="I53" s="1">
        <v>47</v>
      </c>
      <c r="J53" s="7">
        <v>37996</v>
      </c>
      <c r="K53" s="7">
        <v>180855</v>
      </c>
    </row>
    <row r="54" spans="1:11" ht="12.75">
      <c r="A54" s="212" t="s">
        <v>7</v>
      </c>
      <c r="B54" s="213"/>
      <c r="C54" s="213"/>
      <c r="D54" s="213"/>
      <c r="E54" s="213"/>
      <c r="F54" s="213"/>
      <c r="G54" s="213"/>
      <c r="H54" s="214"/>
      <c r="I54" s="1">
        <v>48</v>
      </c>
      <c r="J54" s="7">
        <f>184931+274040</f>
        <v>458971</v>
      </c>
      <c r="K54" s="7">
        <f>149185+481692</f>
        <v>630877</v>
      </c>
    </row>
    <row r="55" spans="1:11" ht="12.75">
      <c r="A55" s="212" t="s">
        <v>8</v>
      </c>
      <c r="B55" s="213"/>
      <c r="C55" s="213"/>
      <c r="D55" s="213"/>
      <c r="E55" s="213"/>
      <c r="F55" s="213"/>
      <c r="G55" s="213"/>
      <c r="H55" s="214"/>
      <c r="I55" s="1">
        <v>49</v>
      </c>
      <c r="J55" s="7">
        <f>2003624-453501</f>
        <v>1550123</v>
      </c>
      <c r="K55" s="7">
        <f>3106+1342552-1990</f>
        <v>1343668</v>
      </c>
    </row>
    <row r="56" spans="1:11" ht="12.75">
      <c r="A56" s="212" t="s">
        <v>78</v>
      </c>
      <c r="B56" s="213"/>
      <c r="C56" s="213"/>
      <c r="D56" s="213"/>
      <c r="E56" s="213"/>
      <c r="F56" s="213"/>
      <c r="G56" s="213"/>
      <c r="H56" s="214"/>
      <c r="I56" s="1">
        <v>50</v>
      </c>
      <c r="J56" s="50">
        <f>SUM(J57:J63)</f>
        <v>4396</v>
      </c>
      <c r="K56" s="50">
        <f>SUM(K57:K63)</f>
        <v>2258</v>
      </c>
    </row>
    <row r="57" spans="1:11" ht="12.75">
      <c r="A57" s="212" t="s">
        <v>52</v>
      </c>
      <c r="B57" s="213"/>
      <c r="C57" s="213"/>
      <c r="D57" s="213"/>
      <c r="E57" s="213"/>
      <c r="F57" s="213"/>
      <c r="G57" s="213"/>
      <c r="H57" s="214"/>
      <c r="I57" s="1">
        <v>51</v>
      </c>
      <c r="J57" s="7"/>
      <c r="K57" s="7"/>
    </row>
    <row r="58" spans="1:11" ht="12.75">
      <c r="A58" s="212" t="s">
        <v>53</v>
      </c>
      <c r="B58" s="213"/>
      <c r="C58" s="213"/>
      <c r="D58" s="213"/>
      <c r="E58" s="213"/>
      <c r="F58" s="213"/>
      <c r="G58" s="213"/>
      <c r="H58" s="214"/>
      <c r="I58" s="1">
        <v>52</v>
      </c>
      <c r="J58" s="7"/>
      <c r="K58" s="7"/>
    </row>
    <row r="59" spans="1:11" ht="12.75">
      <c r="A59" s="212" t="s">
        <v>207</v>
      </c>
      <c r="B59" s="213"/>
      <c r="C59" s="213"/>
      <c r="D59" s="213"/>
      <c r="E59" s="213"/>
      <c r="F59" s="213"/>
      <c r="G59" s="213"/>
      <c r="H59" s="214"/>
      <c r="I59" s="1">
        <v>53</v>
      </c>
      <c r="J59" s="7"/>
      <c r="K59" s="7"/>
    </row>
    <row r="60" spans="1:11" ht="12.75">
      <c r="A60" s="212" t="s">
        <v>59</v>
      </c>
      <c r="B60" s="213"/>
      <c r="C60" s="213"/>
      <c r="D60" s="213"/>
      <c r="E60" s="213"/>
      <c r="F60" s="213"/>
      <c r="G60" s="213"/>
      <c r="H60" s="214"/>
      <c r="I60" s="1">
        <v>54</v>
      </c>
      <c r="J60" s="7"/>
      <c r="K60" s="7"/>
    </row>
    <row r="61" spans="1:11" ht="12.75">
      <c r="A61" s="212" t="s">
        <v>60</v>
      </c>
      <c r="B61" s="213"/>
      <c r="C61" s="213"/>
      <c r="D61" s="213"/>
      <c r="E61" s="213"/>
      <c r="F61" s="213"/>
      <c r="G61" s="213"/>
      <c r="H61" s="214"/>
      <c r="I61" s="1">
        <v>55</v>
      </c>
      <c r="J61" s="7"/>
      <c r="K61" s="7"/>
    </row>
    <row r="62" spans="1:11" ht="12.75">
      <c r="A62" s="212" t="s">
        <v>61</v>
      </c>
      <c r="B62" s="213"/>
      <c r="C62" s="213"/>
      <c r="D62" s="213"/>
      <c r="E62" s="213"/>
      <c r="F62" s="213"/>
      <c r="G62" s="213"/>
      <c r="H62" s="214"/>
      <c r="I62" s="1">
        <v>56</v>
      </c>
      <c r="J62" s="7">
        <v>4396</v>
      </c>
      <c r="K62" s="7">
        <v>2258</v>
      </c>
    </row>
    <row r="63" spans="1:11" ht="12.75">
      <c r="A63" s="212" t="s">
        <v>31</v>
      </c>
      <c r="B63" s="213"/>
      <c r="C63" s="213"/>
      <c r="D63" s="213"/>
      <c r="E63" s="213"/>
      <c r="F63" s="213"/>
      <c r="G63" s="213"/>
      <c r="H63" s="214"/>
      <c r="I63" s="1">
        <v>57</v>
      </c>
      <c r="J63" s="7"/>
      <c r="K63" s="7"/>
    </row>
    <row r="64" spans="1:11" ht="12.75">
      <c r="A64" s="212" t="s">
        <v>172</v>
      </c>
      <c r="B64" s="213"/>
      <c r="C64" s="213"/>
      <c r="D64" s="213"/>
      <c r="E64" s="213"/>
      <c r="F64" s="213"/>
      <c r="G64" s="213"/>
      <c r="H64" s="214"/>
      <c r="I64" s="1">
        <v>58</v>
      </c>
      <c r="J64" s="7">
        <v>5286803</v>
      </c>
      <c r="K64" s="7">
        <v>3428212</v>
      </c>
    </row>
    <row r="65" spans="1:11" ht="12.75">
      <c r="A65" s="215" t="s">
        <v>36</v>
      </c>
      <c r="B65" s="216"/>
      <c r="C65" s="216"/>
      <c r="D65" s="216"/>
      <c r="E65" s="216"/>
      <c r="F65" s="216"/>
      <c r="G65" s="216"/>
      <c r="H65" s="217"/>
      <c r="I65" s="1">
        <v>59</v>
      </c>
      <c r="J65" s="7">
        <v>728687</v>
      </c>
      <c r="K65" s="7">
        <v>4435128</v>
      </c>
    </row>
    <row r="66" spans="1:11" ht="12.75">
      <c r="A66" s="215" t="s">
        <v>206</v>
      </c>
      <c r="B66" s="216"/>
      <c r="C66" s="216"/>
      <c r="D66" s="216"/>
      <c r="E66" s="216"/>
      <c r="F66" s="216"/>
      <c r="G66" s="216"/>
      <c r="H66" s="217"/>
      <c r="I66" s="1">
        <v>60</v>
      </c>
      <c r="J66" s="50">
        <f>J7+J8+J40+J65</f>
        <v>219530690</v>
      </c>
      <c r="K66" s="50">
        <f>K7+K8+K40+K65</f>
        <v>221448375</v>
      </c>
    </row>
    <row r="67" spans="1:11" ht="12.75">
      <c r="A67" s="227" t="s">
        <v>67</v>
      </c>
      <c r="B67" s="228"/>
      <c r="C67" s="228"/>
      <c r="D67" s="228"/>
      <c r="E67" s="228"/>
      <c r="F67" s="228"/>
      <c r="G67" s="228"/>
      <c r="H67" s="229"/>
      <c r="I67" s="4">
        <v>61</v>
      </c>
      <c r="J67" s="8">
        <v>108026196</v>
      </c>
      <c r="K67" s="8">
        <v>108026196</v>
      </c>
    </row>
    <row r="68" spans="1:11" ht="12.75">
      <c r="A68" s="204" t="s">
        <v>38</v>
      </c>
      <c r="B68" s="230"/>
      <c r="C68" s="230"/>
      <c r="D68" s="230"/>
      <c r="E68" s="230"/>
      <c r="F68" s="230"/>
      <c r="G68" s="230"/>
      <c r="H68" s="230"/>
      <c r="I68" s="230"/>
      <c r="J68" s="230"/>
      <c r="K68" s="231"/>
    </row>
    <row r="69" spans="1:11" ht="12.75">
      <c r="A69" s="208" t="s">
        <v>156</v>
      </c>
      <c r="B69" s="209"/>
      <c r="C69" s="209"/>
      <c r="D69" s="209"/>
      <c r="E69" s="209"/>
      <c r="F69" s="209"/>
      <c r="G69" s="209"/>
      <c r="H69" s="226"/>
      <c r="I69" s="3">
        <v>62</v>
      </c>
      <c r="J69" s="51">
        <f>J70+J71+J72+J78+J79+J82+J85</f>
        <v>125022878</v>
      </c>
      <c r="K69" s="51">
        <f>K70+K71+K72+K78+K79+K82+K85</f>
        <v>114142288</v>
      </c>
    </row>
    <row r="70" spans="1:11" ht="12.75">
      <c r="A70" s="212" t="s">
        <v>115</v>
      </c>
      <c r="B70" s="213"/>
      <c r="C70" s="213"/>
      <c r="D70" s="213"/>
      <c r="E70" s="213"/>
      <c r="F70" s="213"/>
      <c r="G70" s="213"/>
      <c r="H70" s="214"/>
      <c r="I70" s="1">
        <v>63</v>
      </c>
      <c r="J70" s="7">
        <v>103144000</v>
      </c>
      <c r="K70" s="7">
        <v>103144000</v>
      </c>
    </row>
    <row r="71" spans="1:11" ht="12.75">
      <c r="A71" s="212" t="s">
        <v>116</v>
      </c>
      <c r="B71" s="213"/>
      <c r="C71" s="213"/>
      <c r="D71" s="213"/>
      <c r="E71" s="213"/>
      <c r="F71" s="213"/>
      <c r="G71" s="213"/>
      <c r="H71" s="214"/>
      <c r="I71" s="1">
        <v>64</v>
      </c>
      <c r="J71" s="7"/>
      <c r="K71" s="7"/>
    </row>
    <row r="72" spans="1:11" ht="12.75">
      <c r="A72" s="212" t="s">
        <v>117</v>
      </c>
      <c r="B72" s="213"/>
      <c r="C72" s="213"/>
      <c r="D72" s="213"/>
      <c r="E72" s="213"/>
      <c r="F72" s="213"/>
      <c r="G72" s="213"/>
      <c r="H72" s="214"/>
      <c r="I72" s="1">
        <v>65</v>
      </c>
      <c r="J72" s="50">
        <f>J73+J74-J75+J76+J77</f>
        <v>9808842</v>
      </c>
      <c r="K72" s="50">
        <f>K73+K74-K75+K76+K77</f>
        <v>9808842</v>
      </c>
    </row>
    <row r="73" spans="1:11" ht="12.75">
      <c r="A73" s="212" t="s">
        <v>118</v>
      </c>
      <c r="B73" s="213"/>
      <c r="C73" s="213"/>
      <c r="D73" s="213"/>
      <c r="E73" s="213"/>
      <c r="F73" s="213"/>
      <c r="G73" s="213"/>
      <c r="H73" s="214"/>
      <c r="I73" s="1">
        <v>66</v>
      </c>
      <c r="J73" s="7">
        <v>216263</v>
      </c>
      <c r="K73" s="7">
        <v>216263</v>
      </c>
    </row>
    <row r="74" spans="1:11" ht="12.75">
      <c r="A74" s="212" t="s">
        <v>119</v>
      </c>
      <c r="B74" s="213"/>
      <c r="C74" s="213"/>
      <c r="D74" s="213"/>
      <c r="E74" s="213"/>
      <c r="F74" s="213"/>
      <c r="G74" s="213"/>
      <c r="H74" s="214"/>
      <c r="I74" s="1">
        <v>67</v>
      </c>
      <c r="J74" s="7"/>
      <c r="K74" s="7"/>
    </row>
    <row r="75" spans="1:11" ht="12.75">
      <c r="A75" s="212" t="s">
        <v>107</v>
      </c>
      <c r="B75" s="213"/>
      <c r="C75" s="213"/>
      <c r="D75" s="213"/>
      <c r="E75" s="213"/>
      <c r="F75" s="213"/>
      <c r="G75" s="213"/>
      <c r="H75" s="214"/>
      <c r="I75" s="1">
        <v>68</v>
      </c>
      <c r="J75" s="7"/>
      <c r="K75" s="7"/>
    </row>
    <row r="76" spans="1:11" ht="12.75">
      <c r="A76" s="212" t="s">
        <v>108</v>
      </c>
      <c r="B76" s="213"/>
      <c r="C76" s="213"/>
      <c r="D76" s="213"/>
      <c r="E76" s="213"/>
      <c r="F76" s="213"/>
      <c r="G76" s="213"/>
      <c r="H76" s="214"/>
      <c r="I76" s="1">
        <v>69</v>
      </c>
      <c r="J76" s="7"/>
      <c r="K76" s="7"/>
    </row>
    <row r="77" spans="1:11" ht="12.75">
      <c r="A77" s="212" t="s">
        <v>109</v>
      </c>
      <c r="B77" s="213"/>
      <c r="C77" s="213"/>
      <c r="D77" s="213"/>
      <c r="E77" s="213"/>
      <c r="F77" s="213"/>
      <c r="G77" s="213"/>
      <c r="H77" s="214"/>
      <c r="I77" s="1">
        <v>70</v>
      </c>
      <c r="J77" s="7">
        <v>9592579</v>
      </c>
      <c r="K77" s="7">
        <v>9592579</v>
      </c>
    </row>
    <row r="78" spans="1:11" ht="12.75">
      <c r="A78" s="212" t="s">
        <v>110</v>
      </c>
      <c r="B78" s="213"/>
      <c r="C78" s="213"/>
      <c r="D78" s="213"/>
      <c r="E78" s="213"/>
      <c r="F78" s="213"/>
      <c r="G78" s="213"/>
      <c r="H78" s="214"/>
      <c r="I78" s="1">
        <v>71</v>
      </c>
      <c r="J78" s="7">
        <v>27164505</v>
      </c>
      <c r="K78" s="7">
        <v>27164505</v>
      </c>
    </row>
    <row r="79" spans="1:11" ht="12.75">
      <c r="A79" s="212" t="s">
        <v>203</v>
      </c>
      <c r="B79" s="213"/>
      <c r="C79" s="213"/>
      <c r="D79" s="213"/>
      <c r="E79" s="213"/>
      <c r="F79" s="213"/>
      <c r="G79" s="213"/>
      <c r="H79" s="214"/>
      <c r="I79" s="1">
        <v>72</v>
      </c>
      <c r="J79" s="50">
        <f>J80-J81</f>
        <v>-10950014</v>
      </c>
      <c r="K79" s="50">
        <f>K80-K81</f>
        <v>-15094469</v>
      </c>
    </row>
    <row r="80" spans="1:11" ht="12.75">
      <c r="A80" s="223" t="s">
        <v>139</v>
      </c>
      <c r="B80" s="224"/>
      <c r="C80" s="224"/>
      <c r="D80" s="224"/>
      <c r="E80" s="224"/>
      <c r="F80" s="224"/>
      <c r="G80" s="224"/>
      <c r="H80" s="225"/>
      <c r="I80" s="1">
        <v>73</v>
      </c>
      <c r="J80" s="7"/>
      <c r="K80" s="7"/>
    </row>
    <row r="81" spans="1:11" ht="12.75">
      <c r="A81" s="223" t="s">
        <v>140</v>
      </c>
      <c r="B81" s="224"/>
      <c r="C81" s="224"/>
      <c r="D81" s="224"/>
      <c r="E81" s="224"/>
      <c r="F81" s="224"/>
      <c r="G81" s="224"/>
      <c r="H81" s="225"/>
      <c r="I81" s="1">
        <v>74</v>
      </c>
      <c r="J81" s="7">
        <v>10950014</v>
      </c>
      <c r="K81" s="7">
        <v>15094469</v>
      </c>
    </row>
    <row r="82" spans="1:11" ht="12.75">
      <c r="A82" s="212" t="s">
        <v>204</v>
      </c>
      <c r="B82" s="213"/>
      <c r="C82" s="213"/>
      <c r="D82" s="213"/>
      <c r="E82" s="213"/>
      <c r="F82" s="213"/>
      <c r="G82" s="213"/>
      <c r="H82" s="214"/>
      <c r="I82" s="1">
        <v>75</v>
      </c>
      <c r="J82" s="50">
        <f>J83-J84</f>
        <v>-4144455</v>
      </c>
      <c r="K82" s="50">
        <f>K83-K84</f>
        <v>-10880590</v>
      </c>
    </row>
    <row r="83" spans="1:11" ht="12.75">
      <c r="A83" s="223" t="s">
        <v>141</v>
      </c>
      <c r="B83" s="224"/>
      <c r="C83" s="224"/>
      <c r="D83" s="224"/>
      <c r="E83" s="224"/>
      <c r="F83" s="224"/>
      <c r="G83" s="224"/>
      <c r="H83" s="225"/>
      <c r="I83" s="1">
        <v>76</v>
      </c>
      <c r="J83" s="7"/>
      <c r="K83" s="7"/>
    </row>
    <row r="84" spans="1:11" ht="12.75">
      <c r="A84" s="223" t="s">
        <v>142</v>
      </c>
      <c r="B84" s="224"/>
      <c r="C84" s="224"/>
      <c r="D84" s="224"/>
      <c r="E84" s="224"/>
      <c r="F84" s="224"/>
      <c r="G84" s="224"/>
      <c r="H84" s="225"/>
      <c r="I84" s="1">
        <v>77</v>
      </c>
      <c r="J84" s="7">
        <v>4144455</v>
      </c>
      <c r="K84" s="7">
        <f>10834508+46082</f>
        <v>10880590</v>
      </c>
    </row>
    <row r="85" spans="1:11" ht="12.75">
      <c r="A85" s="212" t="s">
        <v>143</v>
      </c>
      <c r="B85" s="213"/>
      <c r="C85" s="213"/>
      <c r="D85" s="213"/>
      <c r="E85" s="213"/>
      <c r="F85" s="213"/>
      <c r="G85" s="213"/>
      <c r="H85" s="214"/>
      <c r="I85" s="1">
        <v>78</v>
      </c>
      <c r="J85" s="7"/>
      <c r="K85" s="7"/>
    </row>
    <row r="86" spans="1:11" ht="12.75">
      <c r="A86" s="215" t="s">
        <v>13</v>
      </c>
      <c r="B86" s="216"/>
      <c r="C86" s="216"/>
      <c r="D86" s="216"/>
      <c r="E86" s="216"/>
      <c r="F86" s="216"/>
      <c r="G86" s="216"/>
      <c r="H86" s="217"/>
      <c r="I86" s="1">
        <v>79</v>
      </c>
      <c r="J86" s="50">
        <f>SUM(J87:J89)</f>
        <v>1406091</v>
      </c>
      <c r="K86" s="50">
        <f>SUM(K87:K89)</f>
        <v>1406091</v>
      </c>
    </row>
    <row r="87" spans="1:11" ht="12.75">
      <c r="A87" s="212" t="s">
        <v>103</v>
      </c>
      <c r="B87" s="213"/>
      <c r="C87" s="213"/>
      <c r="D87" s="213"/>
      <c r="E87" s="213"/>
      <c r="F87" s="213"/>
      <c r="G87" s="213"/>
      <c r="H87" s="214"/>
      <c r="I87" s="1">
        <v>80</v>
      </c>
      <c r="J87" s="7"/>
      <c r="K87" s="7"/>
    </row>
    <row r="88" spans="1:11" ht="12.75">
      <c r="A88" s="212" t="s">
        <v>104</v>
      </c>
      <c r="B88" s="213"/>
      <c r="C88" s="213"/>
      <c r="D88" s="213"/>
      <c r="E88" s="213"/>
      <c r="F88" s="213"/>
      <c r="G88" s="213"/>
      <c r="H88" s="214"/>
      <c r="I88" s="1">
        <v>81</v>
      </c>
      <c r="J88" s="7"/>
      <c r="K88" s="7"/>
    </row>
    <row r="89" spans="1:11" ht="12.75">
      <c r="A89" s="212" t="s">
        <v>105</v>
      </c>
      <c r="B89" s="213"/>
      <c r="C89" s="213"/>
      <c r="D89" s="213"/>
      <c r="E89" s="213"/>
      <c r="F89" s="213"/>
      <c r="G89" s="213"/>
      <c r="H89" s="214"/>
      <c r="I89" s="1">
        <v>82</v>
      </c>
      <c r="J89" s="7">
        <v>1406091</v>
      </c>
      <c r="K89" s="7">
        <v>1406091</v>
      </c>
    </row>
    <row r="90" spans="1:11" ht="12.75">
      <c r="A90" s="215" t="s">
        <v>14</v>
      </c>
      <c r="B90" s="216"/>
      <c r="C90" s="216"/>
      <c r="D90" s="216"/>
      <c r="E90" s="216"/>
      <c r="F90" s="216"/>
      <c r="G90" s="216"/>
      <c r="H90" s="217"/>
      <c r="I90" s="1">
        <v>83</v>
      </c>
      <c r="J90" s="50">
        <f>SUM(J91:J99)</f>
        <v>36497025</v>
      </c>
      <c r="K90" s="50">
        <f>SUM(K91:K99)</f>
        <v>36424395</v>
      </c>
    </row>
    <row r="91" spans="1:11" ht="12.75">
      <c r="A91" s="212" t="s">
        <v>106</v>
      </c>
      <c r="B91" s="213"/>
      <c r="C91" s="213"/>
      <c r="D91" s="213"/>
      <c r="E91" s="213"/>
      <c r="F91" s="213"/>
      <c r="G91" s="213"/>
      <c r="H91" s="214"/>
      <c r="I91" s="1">
        <v>84</v>
      </c>
      <c r="J91" s="7">
        <v>848959</v>
      </c>
      <c r="K91" s="7">
        <v>846669</v>
      </c>
    </row>
    <row r="92" spans="1:11" ht="12.75">
      <c r="A92" s="212" t="s">
        <v>208</v>
      </c>
      <c r="B92" s="213"/>
      <c r="C92" s="213"/>
      <c r="D92" s="213"/>
      <c r="E92" s="213"/>
      <c r="F92" s="213"/>
      <c r="G92" s="213"/>
      <c r="H92" s="214"/>
      <c r="I92" s="1">
        <v>85</v>
      </c>
      <c r="J92" s="7"/>
      <c r="K92" s="7"/>
    </row>
    <row r="93" spans="1:11" ht="12.75">
      <c r="A93" s="212" t="s">
        <v>0</v>
      </c>
      <c r="B93" s="213"/>
      <c r="C93" s="213"/>
      <c r="D93" s="213"/>
      <c r="E93" s="213"/>
      <c r="F93" s="213"/>
      <c r="G93" s="213"/>
      <c r="H93" s="214"/>
      <c r="I93" s="1">
        <v>86</v>
      </c>
      <c r="J93" s="7">
        <f>36497025-848959</f>
        <v>35648066</v>
      </c>
      <c r="K93" s="7">
        <f>36424395-846669</f>
        <v>35577726</v>
      </c>
    </row>
    <row r="94" spans="1:11" ht="12.75">
      <c r="A94" s="212" t="s">
        <v>209</v>
      </c>
      <c r="B94" s="213"/>
      <c r="C94" s="213"/>
      <c r="D94" s="213"/>
      <c r="E94" s="213"/>
      <c r="F94" s="213"/>
      <c r="G94" s="213"/>
      <c r="H94" s="214"/>
      <c r="I94" s="1">
        <v>87</v>
      </c>
      <c r="J94" s="7"/>
      <c r="K94" s="7"/>
    </row>
    <row r="95" spans="1:11" ht="12.75">
      <c r="A95" s="212" t="s">
        <v>210</v>
      </c>
      <c r="B95" s="213"/>
      <c r="C95" s="213"/>
      <c r="D95" s="213"/>
      <c r="E95" s="213"/>
      <c r="F95" s="213"/>
      <c r="G95" s="213"/>
      <c r="H95" s="214"/>
      <c r="I95" s="1">
        <v>88</v>
      </c>
      <c r="J95" s="7"/>
      <c r="K95" s="7"/>
    </row>
    <row r="96" spans="1:11" ht="12.75">
      <c r="A96" s="212" t="s">
        <v>211</v>
      </c>
      <c r="B96" s="213"/>
      <c r="C96" s="213"/>
      <c r="D96" s="213"/>
      <c r="E96" s="213"/>
      <c r="F96" s="213"/>
      <c r="G96" s="213"/>
      <c r="H96" s="214"/>
      <c r="I96" s="1">
        <v>89</v>
      </c>
      <c r="J96" s="7"/>
      <c r="K96" s="7"/>
    </row>
    <row r="97" spans="1:11" ht="12.75">
      <c r="A97" s="212" t="s">
        <v>70</v>
      </c>
      <c r="B97" s="213"/>
      <c r="C97" s="213"/>
      <c r="D97" s="213"/>
      <c r="E97" s="213"/>
      <c r="F97" s="213"/>
      <c r="G97" s="213"/>
      <c r="H97" s="214"/>
      <c r="I97" s="1">
        <v>90</v>
      </c>
      <c r="J97" s="7"/>
      <c r="K97" s="7"/>
    </row>
    <row r="98" spans="1:11" ht="12.75">
      <c r="A98" s="212" t="s">
        <v>68</v>
      </c>
      <c r="B98" s="213"/>
      <c r="C98" s="213"/>
      <c r="D98" s="213"/>
      <c r="E98" s="213"/>
      <c r="F98" s="213"/>
      <c r="G98" s="213"/>
      <c r="H98" s="214"/>
      <c r="I98" s="1">
        <v>91</v>
      </c>
      <c r="J98" s="7"/>
      <c r="K98" s="7"/>
    </row>
    <row r="99" spans="1:11" ht="12.75">
      <c r="A99" s="212" t="s">
        <v>69</v>
      </c>
      <c r="B99" s="213"/>
      <c r="C99" s="213"/>
      <c r="D99" s="213"/>
      <c r="E99" s="213"/>
      <c r="F99" s="213"/>
      <c r="G99" s="213"/>
      <c r="H99" s="214"/>
      <c r="I99" s="1">
        <v>92</v>
      </c>
      <c r="J99" s="7"/>
      <c r="K99" s="7"/>
    </row>
    <row r="100" spans="1:11" ht="12.75">
      <c r="A100" s="215" t="s">
        <v>15</v>
      </c>
      <c r="B100" s="216"/>
      <c r="C100" s="216"/>
      <c r="D100" s="216"/>
      <c r="E100" s="216"/>
      <c r="F100" s="216"/>
      <c r="G100" s="216"/>
      <c r="H100" s="217"/>
      <c r="I100" s="1">
        <v>93</v>
      </c>
      <c r="J100" s="50">
        <f>SUM(J101:J112)</f>
        <v>56330783</v>
      </c>
      <c r="K100" s="50">
        <f>SUM(K101:K112)</f>
        <v>64800180</v>
      </c>
    </row>
    <row r="101" spans="1:11" ht="12.75">
      <c r="A101" s="212" t="s">
        <v>106</v>
      </c>
      <c r="B101" s="213"/>
      <c r="C101" s="213"/>
      <c r="D101" s="213"/>
      <c r="E101" s="213"/>
      <c r="F101" s="213"/>
      <c r="G101" s="213"/>
      <c r="H101" s="214"/>
      <c r="I101" s="1">
        <v>94</v>
      </c>
      <c r="J101" s="7">
        <f>1131947+6885744+8212574+524712+4208581+10745777+5084993+96826</f>
        <v>36891154</v>
      </c>
      <c r="K101" s="7">
        <f>51332300-13335943</f>
        <v>37996357</v>
      </c>
    </row>
    <row r="102" spans="1:11" ht="12.75">
      <c r="A102" s="212" t="s">
        <v>208</v>
      </c>
      <c r="B102" s="213"/>
      <c r="C102" s="213"/>
      <c r="D102" s="213"/>
      <c r="E102" s="213"/>
      <c r="F102" s="213"/>
      <c r="G102" s="213"/>
      <c r="H102" s="214"/>
      <c r="I102" s="1">
        <v>95</v>
      </c>
      <c r="J102" s="7"/>
      <c r="K102" s="7"/>
    </row>
    <row r="103" spans="1:11" ht="12.75">
      <c r="A103" s="212" t="s">
        <v>0</v>
      </c>
      <c r="B103" s="213"/>
      <c r="C103" s="213"/>
      <c r="D103" s="213"/>
      <c r="E103" s="213"/>
      <c r="F103" s="213"/>
      <c r="G103" s="213"/>
      <c r="H103" s="214"/>
      <c r="I103" s="1">
        <v>96</v>
      </c>
      <c r="J103" s="7">
        <f>11062466-1131947+1940168+356071+184674+304592+22699</f>
        <v>12738723</v>
      </c>
      <c r="K103" s="7">
        <v>13335943</v>
      </c>
    </row>
    <row r="104" spans="1:11" ht="12.75">
      <c r="A104" s="212" t="s">
        <v>209</v>
      </c>
      <c r="B104" s="213"/>
      <c r="C104" s="213"/>
      <c r="D104" s="213"/>
      <c r="E104" s="213"/>
      <c r="F104" s="213"/>
      <c r="G104" s="213"/>
      <c r="H104" s="214"/>
      <c r="I104" s="1">
        <v>97</v>
      </c>
      <c r="J104" s="7">
        <v>547930</v>
      </c>
      <c r="K104" s="7">
        <v>3164073</v>
      </c>
    </row>
    <row r="105" spans="1:11" ht="12.75">
      <c r="A105" s="212" t="s">
        <v>210</v>
      </c>
      <c r="B105" s="213"/>
      <c r="C105" s="213"/>
      <c r="D105" s="213"/>
      <c r="E105" s="213"/>
      <c r="F105" s="213"/>
      <c r="G105" s="213"/>
      <c r="H105" s="214"/>
      <c r="I105" s="1">
        <v>98</v>
      </c>
      <c r="J105" s="7">
        <v>1278505</v>
      </c>
      <c r="K105" s="7">
        <v>3833996</v>
      </c>
    </row>
    <row r="106" spans="1:11" ht="12.75">
      <c r="A106" s="212" t="s">
        <v>211</v>
      </c>
      <c r="B106" s="213"/>
      <c r="C106" s="213"/>
      <c r="D106" s="213"/>
      <c r="E106" s="213"/>
      <c r="F106" s="213"/>
      <c r="G106" s="213"/>
      <c r="H106" s="214"/>
      <c r="I106" s="1">
        <v>99</v>
      </c>
      <c r="J106" s="7"/>
      <c r="K106" s="7"/>
    </row>
    <row r="107" spans="1:11" ht="12.75">
      <c r="A107" s="212" t="s">
        <v>70</v>
      </c>
      <c r="B107" s="213"/>
      <c r="C107" s="213"/>
      <c r="D107" s="213"/>
      <c r="E107" s="213"/>
      <c r="F107" s="213"/>
      <c r="G107" s="213"/>
      <c r="H107" s="214"/>
      <c r="I107" s="1">
        <v>100</v>
      </c>
      <c r="J107" s="7"/>
      <c r="K107" s="7"/>
    </row>
    <row r="108" spans="1:11" ht="12.75">
      <c r="A108" s="212" t="s">
        <v>71</v>
      </c>
      <c r="B108" s="213"/>
      <c r="C108" s="213"/>
      <c r="D108" s="213"/>
      <c r="E108" s="213"/>
      <c r="F108" s="213"/>
      <c r="G108" s="213"/>
      <c r="H108" s="214"/>
      <c r="I108" s="1">
        <v>101</v>
      </c>
      <c r="J108" s="7">
        <f>238106+2361710</f>
        <v>2599816</v>
      </c>
      <c r="K108" s="7">
        <f>182128+2719141</f>
        <v>2901269</v>
      </c>
    </row>
    <row r="109" spans="1:11" ht="12.75">
      <c r="A109" s="212" t="s">
        <v>72</v>
      </c>
      <c r="B109" s="213"/>
      <c r="C109" s="213"/>
      <c r="D109" s="213"/>
      <c r="E109" s="213"/>
      <c r="F109" s="213"/>
      <c r="G109" s="213"/>
      <c r="H109" s="214"/>
      <c r="I109" s="1">
        <v>102</v>
      </c>
      <c r="J109" s="7">
        <f>10090+644142+172699+9579+758129+649932+18620+1165-1</f>
        <v>2264355</v>
      </c>
      <c r="K109" s="7">
        <f>16422+703072+23662+872835+751744+30418+856771+289218</f>
        <v>3544142</v>
      </c>
    </row>
    <row r="110" spans="1:11" ht="12.75">
      <c r="A110" s="212" t="s">
        <v>75</v>
      </c>
      <c r="B110" s="213"/>
      <c r="C110" s="213"/>
      <c r="D110" s="213"/>
      <c r="E110" s="213"/>
      <c r="F110" s="213"/>
      <c r="G110" s="213"/>
      <c r="H110" s="214"/>
      <c r="I110" s="1">
        <v>103</v>
      </c>
      <c r="J110" s="7"/>
      <c r="K110" s="7"/>
    </row>
    <row r="111" spans="1:11" ht="12.75">
      <c r="A111" s="212" t="s">
        <v>73</v>
      </c>
      <c r="B111" s="213"/>
      <c r="C111" s="213"/>
      <c r="D111" s="213"/>
      <c r="E111" s="213"/>
      <c r="F111" s="213"/>
      <c r="G111" s="213"/>
      <c r="H111" s="214"/>
      <c r="I111" s="1">
        <v>104</v>
      </c>
      <c r="J111" s="7"/>
      <c r="K111" s="7"/>
    </row>
    <row r="112" spans="1:11" ht="12.75">
      <c r="A112" s="212" t="s">
        <v>74</v>
      </c>
      <c r="B112" s="213"/>
      <c r="C112" s="213"/>
      <c r="D112" s="213"/>
      <c r="E112" s="213"/>
      <c r="F112" s="213"/>
      <c r="G112" s="213"/>
      <c r="H112" s="214"/>
      <c r="I112" s="1">
        <v>105</v>
      </c>
      <c r="J112" s="7">
        <f>10000+300</f>
        <v>10300</v>
      </c>
      <c r="K112" s="7">
        <f>24000+400</f>
        <v>24400</v>
      </c>
    </row>
    <row r="113" spans="1:11" ht="12.75">
      <c r="A113" s="215" t="s">
        <v>1</v>
      </c>
      <c r="B113" s="216"/>
      <c r="C113" s="216"/>
      <c r="D113" s="216"/>
      <c r="E113" s="216"/>
      <c r="F113" s="216"/>
      <c r="G113" s="216"/>
      <c r="H113" s="217"/>
      <c r="I113" s="1">
        <v>106</v>
      </c>
      <c r="J113" s="7">
        <v>273913</v>
      </c>
      <c r="K113" s="7">
        <v>4675421</v>
      </c>
    </row>
    <row r="114" spans="1:11" ht="12.75">
      <c r="A114" s="215" t="s">
        <v>19</v>
      </c>
      <c r="B114" s="216"/>
      <c r="C114" s="216"/>
      <c r="D114" s="216"/>
      <c r="E114" s="216"/>
      <c r="F114" s="216"/>
      <c r="G114" s="216"/>
      <c r="H114" s="217"/>
      <c r="I114" s="1">
        <v>107</v>
      </c>
      <c r="J114" s="50">
        <f>J69+J86+J90+J100+J113</f>
        <v>219530690</v>
      </c>
      <c r="K114" s="50">
        <f>K69+K86+K90+K100+K113</f>
        <v>221448375</v>
      </c>
    </row>
    <row r="115" spans="1:11" ht="12.75">
      <c r="A115" s="201" t="s">
        <v>37</v>
      </c>
      <c r="B115" s="202"/>
      <c r="C115" s="202"/>
      <c r="D115" s="202"/>
      <c r="E115" s="202"/>
      <c r="F115" s="202"/>
      <c r="G115" s="202"/>
      <c r="H115" s="203"/>
      <c r="I115" s="2">
        <v>108</v>
      </c>
      <c r="J115" s="8">
        <v>108026196</v>
      </c>
      <c r="K115" s="8">
        <v>108026196</v>
      </c>
    </row>
    <row r="116" spans="1:11" ht="12.75">
      <c r="A116" s="204" t="s">
        <v>274</v>
      </c>
      <c r="B116" s="205"/>
      <c r="C116" s="205"/>
      <c r="D116" s="205"/>
      <c r="E116" s="205"/>
      <c r="F116" s="205"/>
      <c r="G116" s="205"/>
      <c r="H116" s="205"/>
      <c r="I116" s="206"/>
      <c r="J116" s="206"/>
      <c r="K116" s="207"/>
    </row>
    <row r="117" spans="1:11" ht="12.75">
      <c r="A117" s="208" t="s">
        <v>151</v>
      </c>
      <c r="B117" s="209"/>
      <c r="C117" s="209"/>
      <c r="D117" s="209"/>
      <c r="E117" s="209"/>
      <c r="F117" s="209"/>
      <c r="G117" s="209"/>
      <c r="H117" s="209"/>
      <c r="I117" s="210"/>
      <c r="J117" s="210"/>
      <c r="K117" s="211"/>
    </row>
    <row r="118" spans="1:11" ht="12.75">
      <c r="A118" s="212" t="s">
        <v>5</v>
      </c>
      <c r="B118" s="213"/>
      <c r="C118" s="213"/>
      <c r="D118" s="213"/>
      <c r="E118" s="213"/>
      <c r="F118" s="213"/>
      <c r="G118" s="213"/>
      <c r="H118" s="214"/>
      <c r="I118" s="1">
        <v>109</v>
      </c>
      <c r="J118" s="7"/>
      <c r="K118" s="7"/>
    </row>
    <row r="119" spans="1:11" ht="12.75">
      <c r="A119" s="218" t="s">
        <v>6</v>
      </c>
      <c r="B119" s="219"/>
      <c r="C119" s="219"/>
      <c r="D119" s="219"/>
      <c r="E119" s="219"/>
      <c r="F119" s="219"/>
      <c r="G119" s="219"/>
      <c r="H119" s="220"/>
      <c r="I119" s="4">
        <v>110</v>
      </c>
      <c r="J119" s="8"/>
      <c r="K119" s="8"/>
    </row>
    <row r="120" spans="1:11" ht="12.75">
      <c r="A120" s="221" t="s">
        <v>275</v>
      </c>
      <c r="B120" s="222"/>
      <c r="C120" s="222"/>
      <c r="D120" s="222"/>
      <c r="E120" s="222"/>
      <c r="F120" s="222"/>
      <c r="G120" s="222"/>
      <c r="H120" s="222"/>
      <c r="I120" s="222"/>
      <c r="J120" s="222"/>
      <c r="K120" s="222"/>
    </row>
    <row r="121" spans="1:11" ht="12.75">
      <c r="A121" s="199"/>
      <c r="B121" s="200"/>
      <c r="C121" s="200"/>
      <c r="D121" s="200"/>
      <c r="E121" s="200"/>
      <c r="F121" s="200"/>
      <c r="G121" s="200"/>
      <c r="H121" s="200"/>
      <c r="I121" s="200"/>
      <c r="J121" s="200"/>
      <c r="K121" s="200"/>
    </row>
  </sheetData>
  <sheetProtection/>
  <mergeCells count="121">
    <mergeCell ref="A1:K1"/>
    <mergeCell ref="A2:K2"/>
    <mergeCell ref="A3:K3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H51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66:H66"/>
    <mergeCell ref="A67:H67"/>
    <mergeCell ref="A68:K68"/>
    <mergeCell ref="A69:H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82:H82"/>
    <mergeCell ref="A83:H83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98:H98"/>
    <mergeCell ref="A99:H99"/>
    <mergeCell ref="A100:H100"/>
    <mergeCell ref="A101:H101"/>
    <mergeCell ref="A102:H102"/>
    <mergeCell ref="A103:H103"/>
    <mergeCell ref="A104:H104"/>
    <mergeCell ref="A105:H105"/>
    <mergeCell ref="A106:H106"/>
    <mergeCell ref="A107:H107"/>
    <mergeCell ref="A108:H108"/>
    <mergeCell ref="A109:H109"/>
    <mergeCell ref="A110:H110"/>
    <mergeCell ref="A111:H111"/>
    <mergeCell ref="A112:H112"/>
    <mergeCell ref="A113:H113"/>
    <mergeCell ref="A114:H114"/>
    <mergeCell ref="A119:H119"/>
    <mergeCell ref="A120:K120"/>
    <mergeCell ref="A121:K121"/>
    <mergeCell ref="A115:H115"/>
    <mergeCell ref="A116:K116"/>
    <mergeCell ref="A117:K117"/>
    <mergeCell ref="A118:H118"/>
  </mergeCells>
  <dataValidations count="3">
    <dataValidation allowBlank="1" sqref="A1:I65536 K1:IV65536 J1:J10 J12:J16 J26:J28 J30:J41 J48:J50 J56:J61 J63 J66 J68:J69 J71:J72 J79:J80 J82:J83 J85:J88 J90 J94:J100 J114 J116:J65536"/>
    <dataValidation type="whole" operator="greaterThanOrEqual" allowBlank="1" showInputMessage="1" showErrorMessage="1" errorTitle="Pogrešan unos" error="Mogu se unijeti samo cjelobrojne pozitivne vrijednosti." sqref="J11 J17:J25 J29 J42:J47 J51:J55 J62 J64:J65 J67 J70 J73:J77 J81 J84 J89 J91:J93 J101:J113 J115">
      <formula1>0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">
      <formula1>9999999999</formula1>
    </dataValidation>
  </dataValidations>
  <printOptions/>
  <pageMargins left="1.141732283464567" right="0.7480314960629921" top="1.1811023622047245" bottom="0.3937007874015748" header="0.5118110236220472" footer="0.5118110236220472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1">
      <selection activeCell="S7" sqref="S7"/>
    </sheetView>
  </sheetViews>
  <sheetFormatPr defaultColWidth="9.140625" defaultRowHeight="12.75"/>
  <cols>
    <col min="1" max="9" width="9.140625" style="49" customWidth="1"/>
    <col min="10" max="10" width="9.8515625" style="49" customWidth="1"/>
    <col min="11" max="11" width="10.00390625" style="49" customWidth="1"/>
    <col min="12" max="12" width="9.8515625" style="49" customWidth="1"/>
    <col min="13" max="13" width="10.28125" style="49" customWidth="1"/>
    <col min="14" max="16384" width="9.140625" style="49" customWidth="1"/>
  </cols>
  <sheetData>
    <row r="1" spans="1:13" ht="12.75" customHeight="1">
      <c r="A1" s="236" t="s">
        <v>128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</row>
    <row r="2" spans="1:13" ht="12.75" customHeight="1">
      <c r="A2" s="237" t="s">
        <v>310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</row>
    <row r="3" spans="1:13" ht="12.75" customHeight="1">
      <c r="A3" s="255" t="s">
        <v>313</v>
      </c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</row>
    <row r="4" spans="1:13" ht="23.25">
      <c r="A4" s="256" t="s">
        <v>39</v>
      </c>
      <c r="B4" s="256"/>
      <c r="C4" s="256"/>
      <c r="D4" s="256"/>
      <c r="E4" s="256"/>
      <c r="F4" s="256"/>
      <c r="G4" s="256"/>
      <c r="H4" s="256"/>
      <c r="I4" s="55" t="s">
        <v>244</v>
      </c>
      <c r="J4" s="257" t="s">
        <v>302</v>
      </c>
      <c r="K4" s="257"/>
      <c r="L4" s="257" t="s">
        <v>280</v>
      </c>
      <c r="M4" s="257"/>
    </row>
    <row r="5" spans="1:13" ht="33.75">
      <c r="A5" s="256"/>
      <c r="B5" s="256"/>
      <c r="C5" s="256"/>
      <c r="D5" s="256"/>
      <c r="E5" s="256"/>
      <c r="F5" s="256"/>
      <c r="G5" s="256"/>
      <c r="H5" s="256"/>
      <c r="I5" s="55"/>
      <c r="J5" s="57" t="s">
        <v>303</v>
      </c>
      <c r="K5" s="57" t="s">
        <v>304</v>
      </c>
      <c r="L5" s="57" t="s">
        <v>305</v>
      </c>
      <c r="M5" s="57" t="s">
        <v>306</v>
      </c>
    </row>
    <row r="6" spans="1:13" ht="12.75">
      <c r="A6" s="257">
        <v>1</v>
      </c>
      <c r="B6" s="257"/>
      <c r="C6" s="257"/>
      <c r="D6" s="257"/>
      <c r="E6" s="257"/>
      <c r="F6" s="257"/>
      <c r="G6" s="257"/>
      <c r="H6" s="257"/>
      <c r="I6" s="60">
        <v>2</v>
      </c>
      <c r="J6" s="57">
        <v>3</v>
      </c>
      <c r="K6" s="57">
        <v>4</v>
      </c>
      <c r="L6" s="57">
        <v>5</v>
      </c>
      <c r="M6" s="57">
        <v>6</v>
      </c>
    </row>
    <row r="7" spans="1:13" ht="12.75">
      <c r="A7" s="208" t="s">
        <v>20</v>
      </c>
      <c r="B7" s="209"/>
      <c r="C7" s="209"/>
      <c r="D7" s="209"/>
      <c r="E7" s="209"/>
      <c r="F7" s="209"/>
      <c r="G7" s="209"/>
      <c r="H7" s="226"/>
      <c r="I7" s="3">
        <v>111</v>
      </c>
      <c r="J7" s="51">
        <f>SUM(J8:J9)</f>
        <v>12666023</v>
      </c>
      <c r="K7" s="51">
        <f>SUM(K8:K9)</f>
        <v>12483768</v>
      </c>
      <c r="L7" s="51">
        <f>SUM(L8:L9)</f>
        <v>14166978</v>
      </c>
      <c r="M7" s="51">
        <f>SUM(M8:M9)</f>
        <v>13921479</v>
      </c>
    </row>
    <row r="8" spans="1:13" ht="12.75">
      <c r="A8" s="215" t="s">
        <v>126</v>
      </c>
      <c r="B8" s="216"/>
      <c r="C8" s="216"/>
      <c r="D8" s="216"/>
      <c r="E8" s="216"/>
      <c r="F8" s="216"/>
      <c r="G8" s="216"/>
      <c r="H8" s="217"/>
      <c r="I8" s="1">
        <v>112</v>
      </c>
      <c r="J8" s="7">
        <f>2261958+10001638</f>
        <v>12263596</v>
      </c>
      <c r="K8" s="7">
        <f>12263596-17059</f>
        <v>12246537</v>
      </c>
      <c r="L8" s="7">
        <f>2707357+10996290</f>
        <v>13703647</v>
      </c>
      <c r="M8" s="7">
        <f>13703647-115518</f>
        <v>13588129</v>
      </c>
    </row>
    <row r="9" spans="1:13" ht="12.75">
      <c r="A9" s="215" t="s">
        <v>79</v>
      </c>
      <c r="B9" s="216"/>
      <c r="C9" s="216"/>
      <c r="D9" s="216"/>
      <c r="E9" s="216"/>
      <c r="F9" s="216"/>
      <c r="G9" s="216"/>
      <c r="H9" s="217"/>
      <c r="I9" s="1">
        <v>113</v>
      </c>
      <c r="J9" s="7">
        <f>20628+241900+53857+86042</f>
        <v>402427</v>
      </c>
      <c r="K9" s="7">
        <f>402427-12264-152932</f>
        <v>237231</v>
      </c>
      <c r="L9" s="7">
        <f>55559+194097+6123+207552</f>
        <v>463331</v>
      </c>
      <c r="M9" s="7">
        <f>463331-129981</f>
        <v>333350</v>
      </c>
    </row>
    <row r="10" spans="1:13" ht="12.75">
      <c r="A10" s="215" t="s">
        <v>9</v>
      </c>
      <c r="B10" s="216"/>
      <c r="C10" s="216"/>
      <c r="D10" s="216"/>
      <c r="E10" s="216"/>
      <c r="F10" s="216"/>
      <c r="G10" s="216"/>
      <c r="H10" s="217"/>
      <c r="I10" s="1">
        <v>114</v>
      </c>
      <c r="J10" s="50">
        <f>J11+J12+J16+J20+J21+J22+J25+J26</f>
        <v>19513584</v>
      </c>
      <c r="K10" s="50">
        <f>K11+K12+K16+K20+K21+K22+K25+K26</f>
        <v>12042930</v>
      </c>
      <c r="L10" s="50">
        <f>L11+L12+L16+L20+L21+L22+L25+L26</f>
        <v>19624957</v>
      </c>
      <c r="M10" s="50">
        <f>M11+M12+M16+M20+M21+M22+M25+M26</f>
        <v>12221864</v>
      </c>
    </row>
    <row r="11" spans="1:13" ht="12.75">
      <c r="A11" s="215" t="s">
        <v>80</v>
      </c>
      <c r="B11" s="216"/>
      <c r="C11" s="216"/>
      <c r="D11" s="216"/>
      <c r="E11" s="216"/>
      <c r="F11" s="216"/>
      <c r="G11" s="216"/>
      <c r="H11" s="217"/>
      <c r="I11" s="1">
        <v>115</v>
      </c>
      <c r="J11" s="7"/>
      <c r="K11" s="7"/>
      <c r="L11" s="7"/>
      <c r="M11" s="7"/>
    </row>
    <row r="12" spans="1:13" ht="12.75">
      <c r="A12" s="215" t="s">
        <v>16</v>
      </c>
      <c r="B12" s="216"/>
      <c r="C12" s="216"/>
      <c r="D12" s="216"/>
      <c r="E12" s="216"/>
      <c r="F12" s="216"/>
      <c r="G12" s="216"/>
      <c r="H12" s="217"/>
      <c r="I12" s="1">
        <v>116</v>
      </c>
      <c r="J12" s="50">
        <f>SUM(J13:J15)</f>
        <v>5229085</v>
      </c>
      <c r="K12" s="50">
        <f>SUM(K13:K15)</f>
        <v>4307606</v>
      </c>
      <c r="L12" s="50">
        <f>SUM(L13:L15)</f>
        <v>5383561</v>
      </c>
      <c r="M12" s="50">
        <f>SUM(M13:M15)</f>
        <v>4341093</v>
      </c>
    </row>
    <row r="13" spans="1:13" ht="12.75">
      <c r="A13" s="212" t="s">
        <v>120</v>
      </c>
      <c r="B13" s="213"/>
      <c r="C13" s="213"/>
      <c r="D13" s="213"/>
      <c r="E13" s="213"/>
      <c r="F13" s="213"/>
      <c r="G13" s="213"/>
      <c r="H13" s="214"/>
      <c r="I13" s="1">
        <v>117</v>
      </c>
      <c r="J13" s="7">
        <v>2377165</v>
      </c>
      <c r="K13" s="7">
        <f>2377165-231808</f>
        <v>2145357</v>
      </c>
      <c r="L13" s="7">
        <f>2602159+46082</f>
        <v>2648241</v>
      </c>
      <c r="M13" s="7">
        <f>2602159-210557+46082</f>
        <v>2437684</v>
      </c>
    </row>
    <row r="14" spans="1:13" ht="12.75">
      <c r="A14" s="212" t="s">
        <v>121</v>
      </c>
      <c r="B14" s="213"/>
      <c r="C14" s="213"/>
      <c r="D14" s="213"/>
      <c r="E14" s="213"/>
      <c r="F14" s="213"/>
      <c r="G14" s="213"/>
      <c r="H14" s="214"/>
      <c r="I14" s="1">
        <v>118</v>
      </c>
      <c r="J14" s="7">
        <v>45950</v>
      </c>
      <c r="K14" s="7">
        <f>45950</f>
        <v>45950</v>
      </c>
      <c r="L14" s="7">
        <v>46442</v>
      </c>
      <c r="M14" s="7">
        <f>46442-210</f>
        <v>46232</v>
      </c>
    </row>
    <row r="15" spans="1:13" ht="12.75">
      <c r="A15" s="212" t="s">
        <v>41</v>
      </c>
      <c r="B15" s="213"/>
      <c r="C15" s="213"/>
      <c r="D15" s="213"/>
      <c r="E15" s="213"/>
      <c r="F15" s="213"/>
      <c r="G15" s="213"/>
      <c r="H15" s="214"/>
      <c r="I15" s="1">
        <v>119</v>
      </c>
      <c r="J15" s="7">
        <f>1100685+1688072+17213</f>
        <v>2805970</v>
      </c>
      <c r="K15" s="7">
        <f>2788757-168780-520891+17213</f>
        <v>2116299</v>
      </c>
      <c r="L15" s="7">
        <f>997736+1691142</f>
        <v>2688878</v>
      </c>
      <c r="M15" s="7">
        <f>2688878-831701</f>
        <v>1857177</v>
      </c>
    </row>
    <row r="16" spans="1:13" ht="12.75">
      <c r="A16" s="215" t="s">
        <v>17</v>
      </c>
      <c r="B16" s="216"/>
      <c r="C16" s="216"/>
      <c r="D16" s="216"/>
      <c r="E16" s="216"/>
      <c r="F16" s="216"/>
      <c r="G16" s="216"/>
      <c r="H16" s="217"/>
      <c r="I16" s="1">
        <v>120</v>
      </c>
      <c r="J16" s="50">
        <f>SUM(J17:J19)</f>
        <v>11207577</v>
      </c>
      <c r="K16" s="50">
        <f>SUM(K17:K19)</f>
        <v>6104834</v>
      </c>
      <c r="L16" s="50">
        <f>SUM(L17:L19)</f>
        <v>11399528</v>
      </c>
      <c r="M16" s="50">
        <f>SUM(M17:M19)</f>
        <v>6488817</v>
      </c>
    </row>
    <row r="17" spans="1:13" ht="12.75">
      <c r="A17" s="212" t="s">
        <v>42</v>
      </c>
      <c r="B17" s="213"/>
      <c r="C17" s="213"/>
      <c r="D17" s="213"/>
      <c r="E17" s="213"/>
      <c r="F17" s="213"/>
      <c r="G17" s="213"/>
      <c r="H17" s="214"/>
      <c r="I17" s="1">
        <v>121</v>
      </c>
      <c r="J17" s="7">
        <v>6432769</v>
      </c>
      <c r="K17" s="7">
        <f>6432769-2775594-169668</f>
        <v>3487507</v>
      </c>
      <c r="L17" s="7">
        <v>6636568</v>
      </c>
      <c r="M17" s="7">
        <f>6636568-2887466</f>
        <v>3749102</v>
      </c>
    </row>
    <row r="18" spans="1:13" ht="12.75">
      <c r="A18" s="212" t="s">
        <v>43</v>
      </c>
      <c r="B18" s="213"/>
      <c r="C18" s="213"/>
      <c r="D18" s="213"/>
      <c r="E18" s="213"/>
      <c r="F18" s="213"/>
      <c r="G18" s="213"/>
      <c r="H18" s="214"/>
      <c r="I18" s="1">
        <v>122</v>
      </c>
      <c r="J18" s="7">
        <v>3123712</v>
      </c>
      <c r="K18" s="7">
        <v>1718810</v>
      </c>
      <c r="L18" s="7">
        <v>3149971</v>
      </c>
      <c r="M18" s="7">
        <f>3149971-1299506</f>
        <v>1850465</v>
      </c>
    </row>
    <row r="19" spans="1:13" ht="12.75">
      <c r="A19" s="212" t="s">
        <v>44</v>
      </c>
      <c r="B19" s="213"/>
      <c r="C19" s="213"/>
      <c r="D19" s="213"/>
      <c r="E19" s="213"/>
      <c r="F19" s="213"/>
      <c r="G19" s="213"/>
      <c r="H19" s="214"/>
      <c r="I19" s="1">
        <v>123</v>
      </c>
      <c r="J19" s="7">
        <v>1651096</v>
      </c>
      <c r="K19" s="7">
        <f>1651096-752579</f>
        <v>898517</v>
      </c>
      <c r="L19" s="7">
        <v>1612989</v>
      </c>
      <c r="M19" s="7">
        <f>1612989-723739</f>
        <v>889250</v>
      </c>
    </row>
    <row r="20" spans="1:13" ht="12.75">
      <c r="A20" s="215" t="s">
        <v>81</v>
      </c>
      <c r="B20" s="216"/>
      <c r="C20" s="216"/>
      <c r="D20" s="216"/>
      <c r="E20" s="216"/>
      <c r="F20" s="216"/>
      <c r="G20" s="216"/>
      <c r="H20" s="217"/>
      <c r="I20" s="1">
        <v>124</v>
      </c>
      <c r="J20" s="7">
        <v>2316073</v>
      </c>
      <c r="K20" s="7">
        <f>2316073-1159551</f>
        <v>1156522</v>
      </c>
      <c r="L20" s="7">
        <v>2020936</v>
      </c>
      <c r="M20" s="7">
        <f>2020936-1014038+1</f>
        <v>1006899</v>
      </c>
    </row>
    <row r="21" spans="1:13" ht="12.75">
      <c r="A21" s="215" t="s">
        <v>82</v>
      </c>
      <c r="B21" s="216"/>
      <c r="C21" s="216"/>
      <c r="D21" s="216"/>
      <c r="E21" s="216"/>
      <c r="F21" s="216"/>
      <c r="G21" s="216"/>
      <c r="H21" s="217"/>
      <c r="I21" s="1">
        <v>125</v>
      </c>
      <c r="J21" s="7">
        <f>466110+223892</f>
        <v>690002</v>
      </c>
      <c r="K21" s="7">
        <f>690002-259142</f>
        <v>430860</v>
      </c>
      <c r="L21" s="7">
        <f>371395+218039</f>
        <v>589434</v>
      </c>
      <c r="M21" s="7">
        <f>589433-223364</f>
        <v>366069</v>
      </c>
    </row>
    <row r="22" spans="1:13" ht="12.75">
      <c r="A22" s="215" t="s">
        <v>18</v>
      </c>
      <c r="B22" s="216"/>
      <c r="C22" s="216"/>
      <c r="D22" s="216"/>
      <c r="E22" s="216"/>
      <c r="F22" s="216"/>
      <c r="G22" s="216"/>
      <c r="H22" s="217"/>
      <c r="I22" s="1">
        <v>126</v>
      </c>
      <c r="J22" s="50">
        <f>SUM(J23:J24)</f>
        <v>0</v>
      </c>
      <c r="K22" s="50">
        <f>SUM(K23:K24)</f>
        <v>0</v>
      </c>
      <c r="L22" s="50">
        <f>SUM(L23:L24)</f>
        <v>0</v>
      </c>
      <c r="M22" s="50">
        <f>SUM(M23:M24)</f>
        <v>0</v>
      </c>
    </row>
    <row r="23" spans="1:13" ht="12.75">
      <c r="A23" s="212" t="s">
        <v>111</v>
      </c>
      <c r="B23" s="213"/>
      <c r="C23" s="213"/>
      <c r="D23" s="213"/>
      <c r="E23" s="213"/>
      <c r="F23" s="213"/>
      <c r="G23" s="213"/>
      <c r="H23" s="214"/>
      <c r="I23" s="1">
        <v>127</v>
      </c>
      <c r="J23" s="7"/>
      <c r="K23" s="7"/>
      <c r="L23" s="7"/>
      <c r="M23" s="7"/>
    </row>
    <row r="24" spans="1:13" ht="12.75">
      <c r="A24" s="212" t="s">
        <v>112</v>
      </c>
      <c r="B24" s="213"/>
      <c r="C24" s="213"/>
      <c r="D24" s="213"/>
      <c r="E24" s="213"/>
      <c r="F24" s="213"/>
      <c r="G24" s="213"/>
      <c r="H24" s="214"/>
      <c r="I24" s="1">
        <v>128</v>
      </c>
      <c r="J24" s="7"/>
      <c r="K24" s="7"/>
      <c r="L24" s="7"/>
      <c r="M24" s="7"/>
    </row>
    <row r="25" spans="1:13" ht="12.75">
      <c r="A25" s="215" t="s">
        <v>83</v>
      </c>
      <c r="B25" s="216"/>
      <c r="C25" s="216"/>
      <c r="D25" s="216"/>
      <c r="E25" s="216"/>
      <c r="F25" s="216"/>
      <c r="G25" s="216"/>
      <c r="H25" s="217"/>
      <c r="I25" s="1">
        <v>129</v>
      </c>
      <c r="J25" s="7"/>
      <c r="K25" s="7"/>
      <c r="L25" s="7"/>
      <c r="M25" s="7"/>
    </row>
    <row r="26" spans="1:13" ht="12.75">
      <c r="A26" s="215" t="s">
        <v>35</v>
      </c>
      <c r="B26" s="216"/>
      <c r="C26" s="216"/>
      <c r="D26" s="216"/>
      <c r="E26" s="216"/>
      <c r="F26" s="216"/>
      <c r="G26" s="216"/>
      <c r="H26" s="217"/>
      <c r="I26" s="1">
        <v>130</v>
      </c>
      <c r="J26" s="7">
        <v>70847</v>
      </c>
      <c r="K26" s="7">
        <f>70847-27739</f>
        <v>43108</v>
      </c>
      <c r="L26" s="7">
        <v>231498</v>
      </c>
      <c r="M26" s="7">
        <f>231498-212512</f>
        <v>18986</v>
      </c>
    </row>
    <row r="27" spans="1:13" ht="12.75">
      <c r="A27" s="215" t="s">
        <v>178</v>
      </c>
      <c r="B27" s="216"/>
      <c r="C27" s="216"/>
      <c r="D27" s="216"/>
      <c r="E27" s="216"/>
      <c r="F27" s="216"/>
      <c r="G27" s="216"/>
      <c r="H27" s="217"/>
      <c r="I27" s="1">
        <v>131</v>
      </c>
      <c r="J27" s="50">
        <f>SUM(J28:J32)</f>
        <v>175807</v>
      </c>
      <c r="K27" s="50">
        <f>SUM(K28:K32)</f>
        <v>131505</v>
      </c>
      <c r="L27" s="50">
        <f>SUM(L28:L32)</f>
        <v>242398</v>
      </c>
      <c r="M27" s="50">
        <f>SUM(M28:M32)</f>
        <v>2571</v>
      </c>
    </row>
    <row r="28" spans="1:13" ht="12.75">
      <c r="A28" s="215" t="s">
        <v>192</v>
      </c>
      <c r="B28" s="216"/>
      <c r="C28" s="216"/>
      <c r="D28" s="216"/>
      <c r="E28" s="216"/>
      <c r="F28" s="216"/>
      <c r="G28" s="216"/>
      <c r="H28" s="217"/>
      <c r="I28" s="1">
        <v>132</v>
      </c>
      <c r="J28" s="7"/>
      <c r="K28" s="7"/>
      <c r="L28" s="7"/>
      <c r="M28" s="7"/>
    </row>
    <row r="29" spans="1:13" ht="12.75">
      <c r="A29" s="215" t="s">
        <v>129</v>
      </c>
      <c r="B29" s="216"/>
      <c r="C29" s="216"/>
      <c r="D29" s="216"/>
      <c r="E29" s="216"/>
      <c r="F29" s="216"/>
      <c r="G29" s="216"/>
      <c r="H29" s="217"/>
      <c r="I29" s="1">
        <v>133</v>
      </c>
      <c r="J29" s="7">
        <v>175807</v>
      </c>
      <c r="K29" s="7">
        <f>175807-44302</f>
        <v>131505</v>
      </c>
      <c r="L29" s="7">
        <v>242398</v>
      </c>
      <c r="M29" s="7">
        <f>242398-239827</f>
        <v>2571</v>
      </c>
    </row>
    <row r="30" spans="1:13" ht="12.75">
      <c r="A30" s="215" t="s">
        <v>113</v>
      </c>
      <c r="B30" s="216"/>
      <c r="C30" s="216"/>
      <c r="D30" s="216"/>
      <c r="E30" s="216"/>
      <c r="F30" s="216"/>
      <c r="G30" s="216"/>
      <c r="H30" s="217"/>
      <c r="I30" s="1">
        <v>134</v>
      </c>
      <c r="J30" s="7"/>
      <c r="K30" s="7"/>
      <c r="L30" s="7"/>
      <c r="M30" s="7"/>
    </row>
    <row r="31" spans="1:13" ht="12.75">
      <c r="A31" s="215" t="s">
        <v>188</v>
      </c>
      <c r="B31" s="216"/>
      <c r="C31" s="216"/>
      <c r="D31" s="216"/>
      <c r="E31" s="216"/>
      <c r="F31" s="216"/>
      <c r="G31" s="216"/>
      <c r="H31" s="217"/>
      <c r="I31" s="1">
        <v>135</v>
      </c>
      <c r="J31" s="7"/>
      <c r="K31" s="7"/>
      <c r="L31" s="7"/>
      <c r="M31" s="7"/>
    </row>
    <row r="32" spans="1:13" ht="12.75">
      <c r="A32" s="215" t="s">
        <v>114</v>
      </c>
      <c r="B32" s="216"/>
      <c r="C32" s="216"/>
      <c r="D32" s="216"/>
      <c r="E32" s="216"/>
      <c r="F32" s="216"/>
      <c r="G32" s="216"/>
      <c r="H32" s="217"/>
      <c r="I32" s="1">
        <v>136</v>
      </c>
      <c r="J32" s="7"/>
      <c r="K32" s="7"/>
      <c r="L32" s="7"/>
      <c r="M32" s="7"/>
    </row>
    <row r="33" spans="1:13" ht="12.75">
      <c r="A33" s="215" t="s">
        <v>179</v>
      </c>
      <c r="B33" s="216"/>
      <c r="C33" s="216"/>
      <c r="D33" s="216"/>
      <c r="E33" s="216"/>
      <c r="F33" s="216"/>
      <c r="G33" s="216"/>
      <c r="H33" s="217"/>
      <c r="I33" s="1">
        <v>137</v>
      </c>
      <c r="J33" s="50">
        <f>SUM(J34:J37)</f>
        <v>2300325</v>
      </c>
      <c r="K33" s="50">
        <f>SUM(K34:K37)</f>
        <v>1176093</v>
      </c>
      <c r="L33" s="50">
        <f>SUM(L34:L37)</f>
        <v>5665009</v>
      </c>
      <c r="M33" s="50">
        <f>SUM(M34:M37)</f>
        <v>1049215</v>
      </c>
    </row>
    <row r="34" spans="1:13" ht="12.75">
      <c r="A34" s="215" t="s">
        <v>46</v>
      </c>
      <c r="B34" s="216"/>
      <c r="C34" s="216"/>
      <c r="D34" s="216"/>
      <c r="E34" s="216"/>
      <c r="F34" s="216"/>
      <c r="G34" s="216"/>
      <c r="H34" s="217"/>
      <c r="I34" s="1">
        <v>138</v>
      </c>
      <c r="J34" s="7">
        <v>1270406</v>
      </c>
      <c r="K34" s="7">
        <f>1270406-637788</f>
        <v>632618</v>
      </c>
      <c r="L34" s="7">
        <v>1213450</v>
      </c>
      <c r="M34" s="7">
        <f>1213450-599323</f>
        <v>614127</v>
      </c>
    </row>
    <row r="35" spans="1:13" ht="12.75">
      <c r="A35" s="215" t="s">
        <v>45</v>
      </c>
      <c r="B35" s="216"/>
      <c r="C35" s="216"/>
      <c r="D35" s="216"/>
      <c r="E35" s="216"/>
      <c r="F35" s="216"/>
      <c r="G35" s="216"/>
      <c r="H35" s="217"/>
      <c r="I35" s="1">
        <v>139</v>
      </c>
      <c r="J35" s="7">
        <f>2300324-56698-1270406</f>
        <v>973220</v>
      </c>
      <c r="K35" s="7">
        <f>973220-482994</f>
        <v>490226</v>
      </c>
      <c r="L35" s="7">
        <f>5665009-4841344</f>
        <v>823665</v>
      </c>
      <c r="M35" s="7">
        <f>823665-390255</f>
        <v>433410</v>
      </c>
    </row>
    <row r="36" spans="1:13" ht="12.75">
      <c r="A36" s="215" t="s">
        <v>189</v>
      </c>
      <c r="B36" s="216"/>
      <c r="C36" s="216"/>
      <c r="D36" s="216"/>
      <c r="E36" s="216"/>
      <c r="F36" s="216"/>
      <c r="G36" s="216"/>
      <c r="H36" s="217"/>
      <c r="I36" s="1">
        <v>140</v>
      </c>
      <c r="J36" s="7"/>
      <c r="K36" s="7"/>
      <c r="L36" s="7"/>
      <c r="M36" s="7"/>
    </row>
    <row r="37" spans="1:13" ht="12.75">
      <c r="A37" s="215" t="s">
        <v>47</v>
      </c>
      <c r="B37" s="216"/>
      <c r="C37" s="216"/>
      <c r="D37" s="216"/>
      <c r="E37" s="216"/>
      <c r="F37" s="216"/>
      <c r="G37" s="216"/>
      <c r="H37" s="217"/>
      <c r="I37" s="1">
        <v>141</v>
      </c>
      <c r="J37" s="7">
        <v>56699</v>
      </c>
      <c r="K37" s="7">
        <f>56699-3450</f>
        <v>53249</v>
      </c>
      <c r="L37" s="7">
        <v>3627894</v>
      </c>
      <c r="M37" s="7">
        <f>3627894-3626216</f>
        <v>1678</v>
      </c>
    </row>
    <row r="38" spans="1:13" ht="12.75">
      <c r="A38" s="215" t="s">
        <v>160</v>
      </c>
      <c r="B38" s="216"/>
      <c r="C38" s="216"/>
      <c r="D38" s="216"/>
      <c r="E38" s="216"/>
      <c r="F38" s="216"/>
      <c r="G38" s="216"/>
      <c r="H38" s="217"/>
      <c r="I38" s="1">
        <v>142</v>
      </c>
      <c r="J38" s="7"/>
      <c r="K38" s="7"/>
      <c r="L38" s="7"/>
      <c r="M38" s="7"/>
    </row>
    <row r="39" spans="1:13" ht="12.75">
      <c r="A39" s="215" t="s">
        <v>161</v>
      </c>
      <c r="B39" s="216"/>
      <c r="C39" s="216"/>
      <c r="D39" s="216"/>
      <c r="E39" s="216"/>
      <c r="F39" s="216"/>
      <c r="G39" s="216"/>
      <c r="H39" s="217"/>
      <c r="I39" s="1">
        <v>143</v>
      </c>
      <c r="J39" s="7"/>
      <c r="K39" s="7"/>
      <c r="L39" s="7"/>
      <c r="M39" s="7"/>
    </row>
    <row r="40" spans="1:13" ht="12.75">
      <c r="A40" s="215" t="s">
        <v>190</v>
      </c>
      <c r="B40" s="216"/>
      <c r="C40" s="216"/>
      <c r="D40" s="216"/>
      <c r="E40" s="216"/>
      <c r="F40" s="216"/>
      <c r="G40" s="216"/>
      <c r="H40" s="217"/>
      <c r="I40" s="1">
        <v>144</v>
      </c>
      <c r="J40" s="7"/>
      <c r="K40" s="7"/>
      <c r="L40" s="7"/>
      <c r="M40" s="7"/>
    </row>
    <row r="41" spans="1:13" ht="12.75">
      <c r="A41" s="215" t="s">
        <v>191</v>
      </c>
      <c r="B41" s="216"/>
      <c r="C41" s="216"/>
      <c r="D41" s="216"/>
      <c r="E41" s="216"/>
      <c r="F41" s="216"/>
      <c r="G41" s="216"/>
      <c r="H41" s="217"/>
      <c r="I41" s="1">
        <v>145</v>
      </c>
      <c r="J41" s="7"/>
      <c r="K41" s="7"/>
      <c r="L41" s="7"/>
      <c r="M41" s="7"/>
    </row>
    <row r="42" spans="1:13" ht="12.75">
      <c r="A42" s="215" t="s">
        <v>180</v>
      </c>
      <c r="B42" s="216"/>
      <c r="C42" s="216"/>
      <c r="D42" s="216"/>
      <c r="E42" s="216"/>
      <c r="F42" s="216"/>
      <c r="G42" s="216"/>
      <c r="H42" s="217"/>
      <c r="I42" s="1">
        <v>146</v>
      </c>
      <c r="J42" s="50">
        <f>J7+J27+J38+J40</f>
        <v>12841830</v>
      </c>
      <c r="K42" s="50">
        <f>K7+K27+K38+K40</f>
        <v>12615273</v>
      </c>
      <c r="L42" s="50">
        <f>L7+L27+L38+L40</f>
        <v>14409376</v>
      </c>
      <c r="M42" s="50">
        <f>M7+M27+M38+M40</f>
        <v>13924050</v>
      </c>
    </row>
    <row r="43" spans="1:13" ht="12.75">
      <c r="A43" s="215" t="s">
        <v>181</v>
      </c>
      <c r="B43" s="216"/>
      <c r="C43" s="216"/>
      <c r="D43" s="216"/>
      <c r="E43" s="216"/>
      <c r="F43" s="216"/>
      <c r="G43" s="216"/>
      <c r="H43" s="217"/>
      <c r="I43" s="1">
        <v>147</v>
      </c>
      <c r="J43" s="50">
        <f>J10+J33+J39+J41</f>
        <v>21813909</v>
      </c>
      <c r="K43" s="50">
        <f>K10+K33+K39+K41</f>
        <v>13219023</v>
      </c>
      <c r="L43" s="50">
        <f>L10+L33+L39+L41</f>
        <v>25289966</v>
      </c>
      <c r="M43" s="50">
        <f>M10+M33+M39+M41</f>
        <v>13271079</v>
      </c>
    </row>
    <row r="44" spans="1:13" ht="12.75">
      <c r="A44" s="215" t="s">
        <v>201</v>
      </c>
      <c r="B44" s="216"/>
      <c r="C44" s="216"/>
      <c r="D44" s="216"/>
      <c r="E44" s="216"/>
      <c r="F44" s="216"/>
      <c r="G44" s="216"/>
      <c r="H44" s="217"/>
      <c r="I44" s="1">
        <v>148</v>
      </c>
      <c r="J44" s="50">
        <f>J42-J43</f>
        <v>-8972079</v>
      </c>
      <c r="K44" s="50">
        <f>K42-K43</f>
        <v>-603750</v>
      </c>
      <c r="L44" s="50">
        <f>L42-L43</f>
        <v>-10880590</v>
      </c>
      <c r="M44" s="50">
        <f>M42-M43</f>
        <v>652971</v>
      </c>
    </row>
    <row r="45" spans="1:13" ht="12.75">
      <c r="A45" s="223" t="s">
        <v>183</v>
      </c>
      <c r="B45" s="224"/>
      <c r="C45" s="224"/>
      <c r="D45" s="224"/>
      <c r="E45" s="224"/>
      <c r="F45" s="224"/>
      <c r="G45" s="224"/>
      <c r="H45" s="225"/>
      <c r="I45" s="1">
        <v>149</v>
      </c>
      <c r="J45" s="50">
        <f>IF(J42&gt;J43,J42-J43,0)</f>
        <v>0</v>
      </c>
      <c r="K45" s="50">
        <f>IF(K42&gt;K43,K42-K43,0)</f>
        <v>0</v>
      </c>
      <c r="L45" s="50">
        <f>IF(L42&gt;L43,L42-L43,0)</f>
        <v>0</v>
      </c>
      <c r="M45" s="50">
        <f>IF(M42&gt;M43,M42-M43,0)</f>
        <v>652971</v>
      </c>
    </row>
    <row r="46" spans="1:13" ht="12.75">
      <c r="A46" s="223" t="s">
        <v>184</v>
      </c>
      <c r="B46" s="224"/>
      <c r="C46" s="224"/>
      <c r="D46" s="224"/>
      <c r="E46" s="224"/>
      <c r="F46" s="224"/>
      <c r="G46" s="224"/>
      <c r="H46" s="225"/>
      <c r="I46" s="1">
        <v>150</v>
      </c>
      <c r="J46" s="50">
        <f>IF(J43&gt;J42,J43-J42,0)</f>
        <v>8972079</v>
      </c>
      <c r="K46" s="50">
        <f>IF(K43&gt;K42,K43-K42,0)</f>
        <v>603750</v>
      </c>
      <c r="L46" s="50">
        <f>IF(L43&gt;L42,L43-L42,0)</f>
        <v>10880590</v>
      </c>
      <c r="M46" s="50">
        <f>IF(M43&gt;M42,M43-M42,0)</f>
        <v>0</v>
      </c>
    </row>
    <row r="47" spans="1:13" ht="12.75">
      <c r="A47" s="215" t="s">
        <v>182</v>
      </c>
      <c r="B47" s="216"/>
      <c r="C47" s="216"/>
      <c r="D47" s="216"/>
      <c r="E47" s="216"/>
      <c r="F47" s="216"/>
      <c r="G47" s="216"/>
      <c r="H47" s="217"/>
      <c r="I47" s="1">
        <v>151</v>
      </c>
      <c r="J47" s="7"/>
      <c r="K47" s="7"/>
      <c r="L47" s="7"/>
      <c r="M47" s="7"/>
    </row>
    <row r="48" spans="1:13" ht="12.75">
      <c r="A48" s="215" t="s">
        <v>202</v>
      </c>
      <c r="B48" s="216"/>
      <c r="C48" s="216"/>
      <c r="D48" s="216"/>
      <c r="E48" s="216"/>
      <c r="F48" s="216"/>
      <c r="G48" s="216"/>
      <c r="H48" s="217"/>
      <c r="I48" s="1">
        <v>152</v>
      </c>
      <c r="J48" s="50">
        <f>J44-J47</f>
        <v>-8972079</v>
      </c>
      <c r="K48" s="50">
        <f>K44-K47</f>
        <v>-603750</v>
      </c>
      <c r="L48" s="50">
        <f>L44-L47</f>
        <v>-10880590</v>
      </c>
      <c r="M48" s="50">
        <f>M44-M47</f>
        <v>652971</v>
      </c>
    </row>
    <row r="49" spans="1:13" ht="12.75">
      <c r="A49" s="223" t="s">
        <v>157</v>
      </c>
      <c r="B49" s="224"/>
      <c r="C49" s="224"/>
      <c r="D49" s="224"/>
      <c r="E49" s="224"/>
      <c r="F49" s="224"/>
      <c r="G49" s="224"/>
      <c r="H49" s="225"/>
      <c r="I49" s="1">
        <v>153</v>
      </c>
      <c r="J49" s="50">
        <f>IF(J48&gt;0,J48,0)</f>
        <v>0</v>
      </c>
      <c r="K49" s="50">
        <f>IF(K48&gt;0,K48,0)</f>
        <v>0</v>
      </c>
      <c r="L49" s="50">
        <f>IF(L48&gt;0,L48,0)</f>
        <v>0</v>
      </c>
      <c r="M49" s="50">
        <f>IF(M48&gt;0,M48,0)</f>
        <v>652971</v>
      </c>
    </row>
    <row r="50" spans="1:13" ht="12.75">
      <c r="A50" s="252" t="s">
        <v>185</v>
      </c>
      <c r="B50" s="253"/>
      <c r="C50" s="253"/>
      <c r="D50" s="253"/>
      <c r="E50" s="253"/>
      <c r="F50" s="253"/>
      <c r="G50" s="253"/>
      <c r="H50" s="254"/>
      <c r="I50" s="2">
        <v>154</v>
      </c>
      <c r="J50" s="58">
        <f>IF(J48&lt;0,-J48,0)</f>
        <v>8972079</v>
      </c>
      <c r="K50" s="58">
        <f>IF(K48&lt;0,-K48,0)</f>
        <v>603750</v>
      </c>
      <c r="L50" s="58">
        <f>IF(L48&lt;0,-L48,0)</f>
        <v>10880590</v>
      </c>
      <c r="M50" s="58">
        <f>IF(M48&lt;0,-M48,0)</f>
        <v>0</v>
      </c>
    </row>
    <row r="51" spans="1:13" ht="12.75" customHeight="1">
      <c r="A51" s="204" t="s">
        <v>276</v>
      </c>
      <c r="B51" s="205"/>
      <c r="C51" s="205"/>
      <c r="D51" s="205"/>
      <c r="E51" s="205"/>
      <c r="F51" s="205"/>
      <c r="G51" s="205"/>
      <c r="H51" s="205"/>
      <c r="I51" s="205"/>
      <c r="J51" s="205"/>
      <c r="K51" s="205"/>
      <c r="L51" s="205"/>
      <c r="M51" s="205"/>
    </row>
    <row r="52" spans="1:13" ht="12.75" customHeight="1">
      <c r="A52" s="208" t="s">
        <v>152</v>
      </c>
      <c r="B52" s="209"/>
      <c r="C52" s="209"/>
      <c r="D52" s="209"/>
      <c r="E52" s="209"/>
      <c r="F52" s="209"/>
      <c r="G52" s="209"/>
      <c r="H52" s="209"/>
      <c r="I52" s="52"/>
      <c r="J52" s="52"/>
      <c r="K52" s="52"/>
      <c r="L52" s="52"/>
      <c r="M52" s="59"/>
    </row>
    <row r="53" spans="1:13" ht="12.75">
      <c r="A53" s="249" t="s">
        <v>199</v>
      </c>
      <c r="B53" s="250"/>
      <c r="C53" s="250"/>
      <c r="D53" s="250"/>
      <c r="E53" s="250"/>
      <c r="F53" s="250"/>
      <c r="G53" s="250"/>
      <c r="H53" s="251"/>
      <c r="I53" s="1">
        <v>155</v>
      </c>
      <c r="J53" s="7"/>
      <c r="K53" s="7"/>
      <c r="L53" s="7"/>
      <c r="M53" s="7"/>
    </row>
    <row r="54" spans="1:13" ht="12.75">
      <c r="A54" s="249" t="s">
        <v>200</v>
      </c>
      <c r="B54" s="250"/>
      <c r="C54" s="250"/>
      <c r="D54" s="250"/>
      <c r="E54" s="250"/>
      <c r="F54" s="250"/>
      <c r="G54" s="250"/>
      <c r="H54" s="251"/>
      <c r="I54" s="1">
        <v>156</v>
      </c>
      <c r="J54" s="8"/>
      <c r="K54" s="8"/>
      <c r="L54" s="8"/>
      <c r="M54" s="8"/>
    </row>
    <row r="55" spans="1:13" ht="12.75" customHeight="1">
      <c r="A55" s="204" t="s">
        <v>154</v>
      </c>
      <c r="B55" s="205"/>
      <c r="C55" s="205"/>
      <c r="D55" s="205"/>
      <c r="E55" s="205"/>
      <c r="F55" s="205"/>
      <c r="G55" s="205"/>
      <c r="H55" s="205"/>
      <c r="I55" s="205"/>
      <c r="J55" s="205"/>
      <c r="K55" s="205"/>
      <c r="L55" s="205"/>
      <c r="M55" s="205"/>
    </row>
    <row r="56" spans="1:13" ht="12.75">
      <c r="A56" s="208" t="s">
        <v>169</v>
      </c>
      <c r="B56" s="209"/>
      <c r="C56" s="209"/>
      <c r="D56" s="209"/>
      <c r="E56" s="209"/>
      <c r="F56" s="209"/>
      <c r="G56" s="209"/>
      <c r="H56" s="226"/>
      <c r="I56" s="9">
        <v>157</v>
      </c>
      <c r="J56" s="6">
        <v>-8972079</v>
      </c>
      <c r="K56" s="6">
        <v>-603750</v>
      </c>
      <c r="L56" s="6">
        <v>-10834508</v>
      </c>
      <c r="M56" s="6">
        <v>699053</v>
      </c>
    </row>
    <row r="57" spans="1:13" ht="12.75">
      <c r="A57" s="215" t="s">
        <v>186</v>
      </c>
      <c r="B57" s="216"/>
      <c r="C57" s="216"/>
      <c r="D57" s="216"/>
      <c r="E57" s="216"/>
      <c r="F57" s="216"/>
      <c r="G57" s="216"/>
      <c r="H57" s="217"/>
      <c r="I57" s="1">
        <v>158</v>
      </c>
      <c r="J57" s="50">
        <f>SUM(J58:J64)</f>
        <v>0</v>
      </c>
      <c r="K57" s="50">
        <f>SUM(K58:K64)</f>
        <v>0</v>
      </c>
      <c r="L57" s="50">
        <f>SUM(L58:L64)</f>
        <v>0</v>
      </c>
      <c r="M57" s="50">
        <f>SUM(M58:M64)</f>
        <v>0</v>
      </c>
    </row>
    <row r="58" spans="1:13" ht="12.75">
      <c r="A58" s="215" t="s">
        <v>193</v>
      </c>
      <c r="B58" s="216"/>
      <c r="C58" s="216"/>
      <c r="D58" s="216"/>
      <c r="E58" s="216"/>
      <c r="F58" s="216"/>
      <c r="G58" s="216"/>
      <c r="H58" s="217"/>
      <c r="I58" s="1">
        <v>159</v>
      </c>
      <c r="J58" s="7"/>
      <c r="K58" s="7"/>
      <c r="L58" s="7"/>
      <c r="M58" s="7"/>
    </row>
    <row r="59" spans="1:13" ht="12.75">
      <c r="A59" s="215" t="s">
        <v>194</v>
      </c>
      <c r="B59" s="216"/>
      <c r="C59" s="216"/>
      <c r="D59" s="216"/>
      <c r="E59" s="216"/>
      <c r="F59" s="216"/>
      <c r="G59" s="216"/>
      <c r="H59" s="217"/>
      <c r="I59" s="1">
        <v>160</v>
      </c>
      <c r="J59" s="7"/>
      <c r="K59" s="7"/>
      <c r="L59" s="7"/>
      <c r="M59" s="7"/>
    </row>
    <row r="60" spans="1:13" ht="12.75">
      <c r="A60" s="215" t="s">
        <v>30</v>
      </c>
      <c r="B60" s="216"/>
      <c r="C60" s="216"/>
      <c r="D60" s="216"/>
      <c r="E60" s="216"/>
      <c r="F60" s="216"/>
      <c r="G60" s="216"/>
      <c r="H60" s="217"/>
      <c r="I60" s="1">
        <v>161</v>
      </c>
      <c r="J60" s="7"/>
      <c r="K60" s="7"/>
      <c r="L60" s="7"/>
      <c r="M60" s="7"/>
    </row>
    <row r="61" spans="1:13" ht="12.75">
      <c r="A61" s="215" t="s">
        <v>195</v>
      </c>
      <c r="B61" s="216"/>
      <c r="C61" s="216"/>
      <c r="D61" s="216"/>
      <c r="E61" s="216"/>
      <c r="F61" s="216"/>
      <c r="G61" s="216"/>
      <c r="H61" s="217"/>
      <c r="I61" s="1">
        <v>162</v>
      </c>
      <c r="J61" s="7"/>
      <c r="K61" s="7"/>
      <c r="L61" s="7"/>
      <c r="M61" s="7"/>
    </row>
    <row r="62" spans="1:13" ht="12.75">
      <c r="A62" s="215" t="s">
        <v>196</v>
      </c>
      <c r="B62" s="216"/>
      <c r="C62" s="216"/>
      <c r="D62" s="216"/>
      <c r="E62" s="216"/>
      <c r="F62" s="216"/>
      <c r="G62" s="216"/>
      <c r="H62" s="217"/>
      <c r="I62" s="1">
        <v>163</v>
      </c>
      <c r="J62" s="7"/>
      <c r="K62" s="7"/>
      <c r="L62" s="7"/>
      <c r="M62" s="7"/>
    </row>
    <row r="63" spans="1:13" ht="12.75">
      <c r="A63" s="215" t="s">
        <v>197</v>
      </c>
      <c r="B63" s="216"/>
      <c r="C63" s="216"/>
      <c r="D63" s="216"/>
      <c r="E63" s="216"/>
      <c r="F63" s="216"/>
      <c r="G63" s="216"/>
      <c r="H63" s="217"/>
      <c r="I63" s="1">
        <v>164</v>
      </c>
      <c r="J63" s="7"/>
      <c r="K63" s="7"/>
      <c r="L63" s="7"/>
      <c r="M63" s="7"/>
    </row>
    <row r="64" spans="1:13" ht="12.75">
      <c r="A64" s="215" t="s">
        <v>198</v>
      </c>
      <c r="B64" s="216"/>
      <c r="C64" s="216"/>
      <c r="D64" s="216"/>
      <c r="E64" s="216"/>
      <c r="F64" s="216"/>
      <c r="G64" s="216"/>
      <c r="H64" s="217"/>
      <c r="I64" s="1">
        <v>165</v>
      </c>
      <c r="J64" s="7"/>
      <c r="K64" s="7"/>
      <c r="L64" s="7"/>
      <c r="M64" s="7"/>
    </row>
    <row r="65" spans="1:13" ht="12.75">
      <c r="A65" s="215" t="s">
        <v>187</v>
      </c>
      <c r="B65" s="216"/>
      <c r="C65" s="216"/>
      <c r="D65" s="216"/>
      <c r="E65" s="216"/>
      <c r="F65" s="216"/>
      <c r="G65" s="216"/>
      <c r="H65" s="217"/>
      <c r="I65" s="1">
        <v>166</v>
      </c>
      <c r="J65" s="7"/>
      <c r="K65" s="7"/>
      <c r="L65" s="7"/>
      <c r="M65" s="7"/>
    </row>
    <row r="66" spans="1:13" ht="12.75">
      <c r="A66" s="215" t="s">
        <v>158</v>
      </c>
      <c r="B66" s="216"/>
      <c r="C66" s="216"/>
      <c r="D66" s="216"/>
      <c r="E66" s="216"/>
      <c r="F66" s="216"/>
      <c r="G66" s="216"/>
      <c r="H66" s="217"/>
      <c r="I66" s="1">
        <v>167</v>
      </c>
      <c r="J66" s="50">
        <f>J57-J65</f>
        <v>0</v>
      </c>
      <c r="K66" s="50">
        <f>K57-K65</f>
        <v>0</v>
      </c>
      <c r="L66" s="50">
        <f>L57-L65</f>
        <v>0</v>
      </c>
      <c r="M66" s="50">
        <f>M57-M65</f>
        <v>0</v>
      </c>
    </row>
    <row r="67" spans="1:13" ht="12.75">
      <c r="A67" s="215" t="s">
        <v>159</v>
      </c>
      <c r="B67" s="216"/>
      <c r="C67" s="216"/>
      <c r="D67" s="216"/>
      <c r="E67" s="216"/>
      <c r="F67" s="216"/>
      <c r="G67" s="216"/>
      <c r="H67" s="217"/>
      <c r="I67" s="1">
        <v>168</v>
      </c>
      <c r="J67" s="58">
        <f>J56+J66</f>
        <v>-8972079</v>
      </c>
      <c r="K67" s="58">
        <f>K56+K66</f>
        <v>-603750</v>
      </c>
      <c r="L67" s="58">
        <f>L56+L66</f>
        <v>-10834508</v>
      </c>
      <c r="M67" s="58">
        <f>M56+M66</f>
        <v>699053</v>
      </c>
    </row>
    <row r="68" spans="1:13" ht="12.75" customHeight="1">
      <c r="A68" s="245" t="s">
        <v>277</v>
      </c>
      <c r="B68" s="246"/>
      <c r="C68" s="246"/>
      <c r="D68" s="246"/>
      <c r="E68" s="246"/>
      <c r="F68" s="246"/>
      <c r="G68" s="246"/>
      <c r="H68" s="246"/>
      <c r="I68" s="246"/>
      <c r="J68" s="246"/>
      <c r="K68" s="246"/>
      <c r="L68" s="246"/>
      <c r="M68" s="246"/>
    </row>
    <row r="69" spans="1:13" ht="12.75" customHeight="1">
      <c r="A69" s="247" t="s">
        <v>153</v>
      </c>
      <c r="B69" s="248"/>
      <c r="C69" s="248"/>
      <c r="D69" s="248"/>
      <c r="E69" s="248"/>
      <c r="F69" s="248"/>
      <c r="G69" s="248"/>
      <c r="H69" s="248"/>
      <c r="I69" s="248"/>
      <c r="J69" s="248"/>
      <c r="K69" s="248"/>
      <c r="L69" s="248"/>
      <c r="M69" s="248"/>
    </row>
    <row r="70" spans="1:13" ht="12.75">
      <c r="A70" s="249" t="s">
        <v>199</v>
      </c>
      <c r="B70" s="250"/>
      <c r="C70" s="250"/>
      <c r="D70" s="250"/>
      <c r="E70" s="250"/>
      <c r="F70" s="250"/>
      <c r="G70" s="250"/>
      <c r="H70" s="251"/>
      <c r="I70" s="1">
        <v>169</v>
      </c>
      <c r="J70" s="7"/>
      <c r="K70" s="7"/>
      <c r="L70" s="7"/>
      <c r="M70" s="7"/>
    </row>
    <row r="71" spans="1:13" ht="12.75">
      <c r="A71" s="242" t="s">
        <v>200</v>
      </c>
      <c r="B71" s="243"/>
      <c r="C71" s="243"/>
      <c r="D71" s="243"/>
      <c r="E71" s="243"/>
      <c r="F71" s="243"/>
      <c r="G71" s="243"/>
      <c r="H71" s="244"/>
      <c r="I71" s="4">
        <v>170</v>
      </c>
      <c r="J71" s="8"/>
      <c r="K71" s="8"/>
      <c r="L71" s="8"/>
      <c r="M71" s="8"/>
    </row>
  </sheetData>
  <sheetProtection/>
  <mergeCells count="73">
    <mergeCell ref="A8:H8"/>
    <mergeCell ref="A9:H9"/>
    <mergeCell ref="J4:K4"/>
    <mergeCell ref="L4:M4"/>
    <mergeCell ref="A5:H5"/>
    <mergeCell ref="A3:M3"/>
    <mergeCell ref="A4:H4"/>
    <mergeCell ref="A6:H6"/>
    <mergeCell ref="A7:H7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M51"/>
    <mergeCell ref="A52:H52"/>
    <mergeCell ref="A53:H53"/>
    <mergeCell ref="A54:H54"/>
    <mergeCell ref="A56:H56"/>
    <mergeCell ref="A55:M55"/>
    <mergeCell ref="A57:H57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3">
    <dataValidation allowBlank="1" sqref="A1:I65536 L1:IV65536 J1:K7 J10:K12 J16:K16 J27:K28 J30:K33 J38:K55 J57:K65536"/>
    <dataValidation type="whole" operator="greaterThanOrEqual" allowBlank="1" showInputMessage="1" showErrorMessage="1" errorTitle="Pogrešan unos" error="Mogu se unijeti samo cjelobrojne pozitivne vrijednosti." sqref="J8:J9 J13:J15 J17:J26 J29 J34:J37 K22">
      <formula1>0</formula1>
    </dataValidation>
    <dataValidation type="whole" operator="notEqual" allowBlank="1" showInputMessage="1" showErrorMessage="1" errorTitle="Pogrešan unos" error="Mogu se unijeti samo cjelobrojne vrijednosti." sqref="J56">
      <formula1>999999999999</formula1>
    </dataValidation>
  </dataValidations>
  <printOptions/>
  <pageMargins left="0.9448818897637796" right="0.7480314960629921" top="1.1811023622047245" bottom="0.984251968503937" header="0.5118110236220472" footer="0.5118110236220472"/>
  <pageSetup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4" sqref="A4:H4"/>
    </sheetView>
  </sheetViews>
  <sheetFormatPr defaultColWidth="9.140625" defaultRowHeight="12.75"/>
  <cols>
    <col min="1" max="10" width="9.140625" style="49" customWidth="1"/>
    <col min="11" max="11" width="9.421875" style="49" bestFit="1" customWidth="1"/>
    <col min="12" max="16384" width="9.140625" style="49" customWidth="1"/>
  </cols>
  <sheetData>
    <row r="1" spans="1:11" ht="12.75" customHeight="1">
      <c r="A1" s="260" t="s">
        <v>162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</row>
    <row r="2" spans="1:11" ht="12.75" customHeight="1">
      <c r="A2" s="268" t="s">
        <v>310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</row>
    <row r="3" spans="1:11" ht="12.75">
      <c r="A3" s="267" t="s">
        <v>312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</row>
    <row r="4" spans="1:11" ht="56.25">
      <c r="A4" s="261" t="s">
        <v>39</v>
      </c>
      <c r="B4" s="261"/>
      <c r="C4" s="261"/>
      <c r="D4" s="261"/>
      <c r="E4" s="261"/>
      <c r="F4" s="261"/>
      <c r="G4" s="261"/>
      <c r="H4" s="261"/>
      <c r="I4" s="63" t="s">
        <v>244</v>
      </c>
      <c r="J4" s="64" t="s">
        <v>308</v>
      </c>
      <c r="K4" s="64" t="s">
        <v>309</v>
      </c>
    </row>
    <row r="5" spans="1:11" ht="12.75">
      <c r="A5" s="266">
        <v>1</v>
      </c>
      <c r="B5" s="266"/>
      <c r="C5" s="266"/>
      <c r="D5" s="266"/>
      <c r="E5" s="266"/>
      <c r="F5" s="266"/>
      <c r="G5" s="266"/>
      <c r="H5" s="266"/>
      <c r="I5" s="67">
        <v>2</v>
      </c>
      <c r="J5" s="68" t="s">
        <v>247</v>
      </c>
      <c r="K5" s="68" t="s">
        <v>248</v>
      </c>
    </row>
    <row r="6" spans="1:11" ht="12.75">
      <c r="A6" s="204" t="s">
        <v>130</v>
      </c>
      <c r="B6" s="205"/>
      <c r="C6" s="205"/>
      <c r="D6" s="205"/>
      <c r="E6" s="205"/>
      <c r="F6" s="205"/>
      <c r="G6" s="205"/>
      <c r="H6" s="205"/>
      <c r="I6" s="258"/>
      <c r="J6" s="258"/>
      <c r="K6" s="259"/>
    </row>
    <row r="7" spans="1:11" ht="12.75">
      <c r="A7" s="212" t="s">
        <v>164</v>
      </c>
      <c r="B7" s="213"/>
      <c r="C7" s="213"/>
      <c r="D7" s="213"/>
      <c r="E7" s="213"/>
      <c r="F7" s="213"/>
      <c r="G7" s="213"/>
      <c r="H7" s="213"/>
      <c r="I7" s="1">
        <v>1</v>
      </c>
      <c r="J7" s="5">
        <f>2208986+6983010+2922777+21805</f>
        <v>12136578</v>
      </c>
      <c r="K7" s="7">
        <f>2522683+8439029+3891031</f>
        <v>14852743</v>
      </c>
    </row>
    <row r="8" spans="1:11" ht="12.75">
      <c r="A8" s="212" t="s">
        <v>93</v>
      </c>
      <c r="B8" s="213"/>
      <c r="C8" s="213"/>
      <c r="D8" s="213"/>
      <c r="E8" s="213"/>
      <c r="F8" s="213"/>
      <c r="G8" s="213"/>
      <c r="H8" s="213"/>
      <c r="I8" s="1">
        <v>2</v>
      </c>
      <c r="J8" s="5"/>
      <c r="K8" s="7"/>
    </row>
    <row r="9" spans="1:11" ht="12.75">
      <c r="A9" s="212" t="s">
        <v>94</v>
      </c>
      <c r="B9" s="213"/>
      <c r="C9" s="213"/>
      <c r="D9" s="213"/>
      <c r="E9" s="213"/>
      <c r="F9" s="213"/>
      <c r="G9" s="213"/>
      <c r="H9" s="213"/>
      <c r="I9" s="1">
        <v>3</v>
      </c>
      <c r="J9" s="5">
        <v>100144</v>
      </c>
      <c r="K9" s="7">
        <v>92934</v>
      </c>
    </row>
    <row r="10" spans="1:11" ht="12.75">
      <c r="A10" s="212" t="s">
        <v>95</v>
      </c>
      <c r="B10" s="213"/>
      <c r="C10" s="213"/>
      <c r="D10" s="213"/>
      <c r="E10" s="213"/>
      <c r="F10" s="213"/>
      <c r="G10" s="213"/>
      <c r="H10" s="213"/>
      <c r="I10" s="1">
        <v>4</v>
      </c>
      <c r="J10" s="5">
        <v>401117</v>
      </c>
      <c r="K10" s="7">
        <v>178352</v>
      </c>
    </row>
    <row r="11" spans="1:11" ht="12.75">
      <c r="A11" s="212" t="s">
        <v>96</v>
      </c>
      <c r="B11" s="213"/>
      <c r="C11" s="213"/>
      <c r="D11" s="213"/>
      <c r="E11" s="213"/>
      <c r="F11" s="213"/>
      <c r="G11" s="213"/>
      <c r="H11" s="213"/>
      <c r="I11" s="1">
        <v>5</v>
      </c>
      <c r="J11" s="5">
        <f>208597-100144+196352</f>
        <v>304805</v>
      </c>
      <c r="K11" s="7">
        <f>338241+323403-92934+23027</f>
        <v>591737</v>
      </c>
    </row>
    <row r="12" spans="1:11" ht="12.75">
      <c r="A12" s="215" t="s">
        <v>163</v>
      </c>
      <c r="B12" s="216"/>
      <c r="C12" s="216"/>
      <c r="D12" s="216"/>
      <c r="E12" s="216"/>
      <c r="F12" s="216"/>
      <c r="G12" s="216"/>
      <c r="H12" s="216"/>
      <c r="I12" s="1">
        <v>6</v>
      </c>
      <c r="J12" s="61">
        <f>SUM(J7:J11)</f>
        <v>12942644</v>
      </c>
      <c r="K12" s="50">
        <f>SUM(K7:K11)</f>
        <v>15715766</v>
      </c>
    </row>
    <row r="13" spans="1:11" ht="12.75">
      <c r="A13" s="212" t="s">
        <v>97</v>
      </c>
      <c r="B13" s="213"/>
      <c r="C13" s="213"/>
      <c r="D13" s="213"/>
      <c r="E13" s="213"/>
      <c r="F13" s="213"/>
      <c r="G13" s="213"/>
      <c r="H13" s="213"/>
      <c r="I13" s="1">
        <v>7</v>
      </c>
      <c r="J13" s="5">
        <f>1244731+3008293+121383-100144-109085+295903</f>
        <v>4461081</v>
      </c>
      <c r="K13" s="7">
        <f>1424744+3280396+192074-227788</f>
        <v>4669426</v>
      </c>
    </row>
    <row r="14" spans="1:11" ht="12.75">
      <c r="A14" s="212" t="s">
        <v>98</v>
      </c>
      <c r="B14" s="213"/>
      <c r="C14" s="213"/>
      <c r="D14" s="213"/>
      <c r="E14" s="213"/>
      <c r="F14" s="213"/>
      <c r="G14" s="213"/>
      <c r="H14" s="213"/>
      <c r="I14" s="1">
        <v>8</v>
      </c>
      <c r="J14" s="5">
        <f>10464269+66501+100000</f>
        <v>10630770</v>
      </c>
      <c r="K14" s="7">
        <f>11189739+48740+98990</f>
        <v>11337469</v>
      </c>
    </row>
    <row r="15" spans="1:11" ht="12.75">
      <c r="A15" s="212" t="s">
        <v>99</v>
      </c>
      <c r="B15" s="213"/>
      <c r="C15" s="213"/>
      <c r="D15" s="213"/>
      <c r="E15" s="213"/>
      <c r="F15" s="213"/>
      <c r="G15" s="213"/>
      <c r="H15" s="213"/>
      <c r="I15" s="1">
        <v>9</v>
      </c>
      <c r="J15" s="5">
        <f>100144+109085</f>
        <v>209229</v>
      </c>
      <c r="K15" s="7">
        <v>227788</v>
      </c>
    </row>
    <row r="16" spans="1:11" ht="12.75">
      <c r="A16" s="212" t="s">
        <v>100</v>
      </c>
      <c r="B16" s="213"/>
      <c r="C16" s="213"/>
      <c r="D16" s="213"/>
      <c r="E16" s="213"/>
      <c r="F16" s="213"/>
      <c r="G16" s="213"/>
      <c r="H16" s="213"/>
      <c r="I16" s="1">
        <v>10</v>
      </c>
      <c r="J16" s="5">
        <v>718</v>
      </c>
      <c r="K16" s="7">
        <v>1236</v>
      </c>
    </row>
    <row r="17" spans="1:11" ht="12.75">
      <c r="A17" s="212" t="s">
        <v>101</v>
      </c>
      <c r="B17" s="213"/>
      <c r="C17" s="213"/>
      <c r="D17" s="213"/>
      <c r="E17" s="213"/>
      <c r="F17" s="213"/>
      <c r="G17" s="213"/>
      <c r="H17" s="213"/>
      <c r="I17" s="1">
        <v>11</v>
      </c>
      <c r="J17" s="5">
        <f>294709+100439</f>
        <v>395148</v>
      </c>
      <c r="K17" s="7">
        <f>435714+89288</f>
        <v>525002</v>
      </c>
    </row>
    <row r="18" spans="1:11" ht="12.75">
      <c r="A18" s="212" t="s">
        <v>102</v>
      </c>
      <c r="B18" s="213"/>
      <c r="C18" s="213"/>
      <c r="D18" s="213"/>
      <c r="E18" s="213"/>
      <c r="F18" s="213"/>
      <c r="G18" s="213"/>
      <c r="H18" s="213"/>
      <c r="I18" s="1">
        <v>12</v>
      </c>
      <c r="J18" s="5">
        <f>108373+182070+8525+47431</f>
        <v>346399</v>
      </c>
      <c r="K18" s="7">
        <f>170452+95987+12096+26750</f>
        <v>305285</v>
      </c>
    </row>
    <row r="19" spans="1:11" ht="12.75">
      <c r="A19" s="215" t="s">
        <v>32</v>
      </c>
      <c r="B19" s="216"/>
      <c r="C19" s="216"/>
      <c r="D19" s="216"/>
      <c r="E19" s="216"/>
      <c r="F19" s="216"/>
      <c r="G19" s="216"/>
      <c r="H19" s="216"/>
      <c r="I19" s="1">
        <v>13</v>
      </c>
      <c r="J19" s="61">
        <f>SUM(J13:J18)</f>
        <v>16043345</v>
      </c>
      <c r="K19" s="50">
        <f>SUM(K13:K18)</f>
        <v>17066206</v>
      </c>
    </row>
    <row r="20" spans="1:11" ht="12.75">
      <c r="A20" s="215" t="s">
        <v>84</v>
      </c>
      <c r="B20" s="264"/>
      <c r="C20" s="264"/>
      <c r="D20" s="264"/>
      <c r="E20" s="264"/>
      <c r="F20" s="264"/>
      <c r="G20" s="264"/>
      <c r="H20" s="265"/>
      <c r="I20" s="1">
        <v>14</v>
      </c>
      <c r="J20" s="61">
        <f>IF(J12&gt;J19,J12-J19,0)</f>
        <v>0</v>
      </c>
      <c r="K20" s="50">
        <f>IF(K12&gt;K19,K12-K19,0)</f>
        <v>0</v>
      </c>
    </row>
    <row r="21" spans="1:11" ht="12.75">
      <c r="A21" s="227" t="s">
        <v>85</v>
      </c>
      <c r="B21" s="262"/>
      <c r="C21" s="262"/>
      <c r="D21" s="262"/>
      <c r="E21" s="262"/>
      <c r="F21" s="262"/>
      <c r="G21" s="262"/>
      <c r="H21" s="263"/>
      <c r="I21" s="1">
        <v>15</v>
      </c>
      <c r="J21" s="61">
        <f>IF(J19&gt;J12,J19-J12,0)</f>
        <v>3100701</v>
      </c>
      <c r="K21" s="50">
        <f>IF(K19&gt;K12,K19-K12,0)</f>
        <v>1350440</v>
      </c>
    </row>
    <row r="22" spans="1:11" ht="12.75">
      <c r="A22" s="204" t="s">
        <v>131</v>
      </c>
      <c r="B22" s="205"/>
      <c r="C22" s="205"/>
      <c r="D22" s="205"/>
      <c r="E22" s="205"/>
      <c r="F22" s="205"/>
      <c r="G22" s="205"/>
      <c r="H22" s="205"/>
      <c r="I22" s="258"/>
      <c r="J22" s="258"/>
      <c r="K22" s="259"/>
    </row>
    <row r="23" spans="1:11" ht="12.75">
      <c r="A23" s="212" t="s">
        <v>136</v>
      </c>
      <c r="B23" s="213"/>
      <c r="C23" s="213"/>
      <c r="D23" s="213"/>
      <c r="E23" s="213"/>
      <c r="F23" s="213"/>
      <c r="G23" s="213"/>
      <c r="H23" s="213"/>
      <c r="I23" s="1">
        <v>16</v>
      </c>
      <c r="J23" s="5"/>
      <c r="K23" s="7"/>
    </row>
    <row r="24" spans="1:11" ht="12.75">
      <c r="A24" s="212" t="s">
        <v>137</v>
      </c>
      <c r="B24" s="213"/>
      <c r="C24" s="213"/>
      <c r="D24" s="213"/>
      <c r="E24" s="213"/>
      <c r="F24" s="213"/>
      <c r="G24" s="213"/>
      <c r="H24" s="213"/>
      <c r="I24" s="1">
        <v>17</v>
      </c>
      <c r="J24" s="5"/>
      <c r="K24" s="7"/>
    </row>
    <row r="25" spans="1:11" ht="12.75">
      <c r="A25" s="212" t="s">
        <v>281</v>
      </c>
      <c r="B25" s="213"/>
      <c r="C25" s="213"/>
      <c r="D25" s="213"/>
      <c r="E25" s="213"/>
      <c r="F25" s="213"/>
      <c r="G25" s="213"/>
      <c r="H25" s="213"/>
      <c r="I25" s="1">
        <v>18</v>
      </c>
      <c r="J25" s="5"/>
      <c r="K25" s="7"/>
    </row>
    <row r="26" spans="1:11" ht="12.75">
      <c r="A26" s="212" t="s">
        <v>282</v>
      </c>
      <c r="B26" s="213"/>
      <c r="C26" s="213"/>
      <c r="D26" s="213"/>
      <c r="E26" s="213"/>
      <c r="F26" s="213"/>
      <c r="G26" s="213"/>
      <c r="H26" s="213"/>
      <c r="I26" s="1">
        <v>19</v>
      </c>
      <c r="J26" s="5"/>
      <c r="K26" s="7"/>
    </row>
    <row r="27" spans="1:11" ht="12.75">
      <c r="A27" s="212" t="s">
        <v>138</v>
      </c>
      <c r="B27" s="213"/>
      <c r="C27" s="213"/>
      <c r="D27" s="213"/>
      <c r="E27" s="213"/>
      <c r="F27" s="213"/>
      <c r="G27" s="213"/>
      <c r="H27" s="213"/>
      <c r="I27" s="1">
        <v>20</v>
      </c>
      <c r="J27" s="5"/>
      <c r="K27" s="7"/>
    </row>
    <row r="28" spans="1:11" ht="12.75">
      <c r="A28" s="215" t="s">
        <v>90</v>
      </c>
      <c r="B28" s="216"/>
      <c r="C28" s="216"/>
      <c r="D28" s="216"/>
      <c r="E28" s="216"/>
      <c r="F28" s="216"/>
      <c r="G28" s="216"/>
      <c r="H28" s="216"/>
      <c r="I28" s="1">
        <v>21</v>
      </c>
      <c r="J28" s="61">
        <f>SUM(J23:J27)</f>
        <v>0</v>
      </c>
      <c r="K28" s="50">
        <f>SUM(K23:K27)</f>
        <v>0</v>
      </c>
    </row>
    <row r="29" spans="1:11" ht="12.75">
      <c r="A29" s="212" t="s">
        <v>2</v>
      </c>
      <c r="B29" s="213"/>
      <c r="C29" s="213"/>
      <c r="D29" s="213"/>
      <c r="E29" s="213"/>
      <c r="F29" s="213"/>
      <c r="G29" s="213"/>
      <c r="H29" s="213"/>
      <c r="I29" s="1">
        <v>22</v>
      </c>
      <c r="J29" s="7">
        <f>230295+11282</f>
        <v>241577</v>
      </c>
      <c r="K29" s="7">
        <f>129627+90089</f>
        <v>219716</v>
      </c>
    </row>
    <row r="30" spans="1:11" ht="12.75">
      <c r="A30" s="212" t="s">
        <v>3</v>
      </c>
      <c r="B30" s="213"/>
      <c r="C30" s="213"/>
      <c r="D30" s="213"/>
      <c r="E30" s="213"/>
      <c r="F30" s="213"/>
      <c r="G30" s="213"/>
      <c r="H30" s="213"/>
      <c r="I30" s="1">
        <v>23</v>
      </c>
      <c r="J30" s="5"/>
      <c r="K30" s="7"/>
    </row>
    <row r="31" spans="1:11" ht="12.75">
      <c r="A31" s="212" t="s">
        <v>4</v>
      </c>
      <c r="B31" s="213"/>
      <c r="C31" s="213"/>
      <c r="D31" s="213"/>
      <c r="E31" s="213"/>
      <c r="F31" s="213"/>
      <c r="G31" s="213"/>
      <c r="H31" s="213"/>
      <c r="I31" s="1">
        <v>24</v>
      </c>
      <c r="J31" s="7">
        <f>7544385-241577</f>
        <v>7302808</v>
      </c>
      <c r="K31" s="7">
        <f>7987518-219716</f>
        <v>7767802</v>
      </c>
    </row>
    <row r="32" spans="1:11" ht="12.75">
      <c r="A32" s="215" t="s">
        <v>33</v>
      </c>
      <c r="B32" s="216"/>
      <c r="C32" s="216"/>
      <c r="D32" s="216"/>
      <c r="E32" s="216"/>
      <c r="F32" s="216"/>
      <c r="G32" s="216"/>
      <c r="H32" s="216"/>
      <c r="I32" s="1">
        <v>25</v>
      </c>
      <c r="J32" s="61">
        <f>SUM(J29:J31)</f>
        <v>7544385</v>
      </c>
      <c r="K32" s="50">
        <f>SUM(K29:K31)</f>
        <v>7987518</v>
      </c>
    </row>
    <row r="33" spans="1:11" ht="12.75">
      <c r="A33" s="215" t="s">
        <v>86</v>
      </c>
      <c r="B33" s="216"/>
      <c r="C33" s="216"/>
      <c r="D33" s="216"/>
      <c r="E33" s="216"/>
      <c r="F33" s="216"/>
      <c r="G33" s="216"/>
      <c r="H33" s="216"/>
      <c r="I33" s="1">
        <v>26</v>
      </c>
      <c r="J33" s="61">
        <f>IF(J28&gt;J32,J28-J32,0)</f>
        <v>0</v>
      </c>
      <c r="K33" s="50">
        <f>IF(K28&gt;K32,K28-K32,0)</f>
        <v>0</v>
      </c>
    </row>
    <row r="34" spans="1:11" ht="12.75">
      <c r="A34" s="215" t="s">
        <v>87</v>
      </c>
      <c r="B34" s="216"/>
      <c r="C34" s="216"/>
      <c r="D34" s="216"/>
      <c r="E34" s="216"/>
      <c r="F34" s="216"/>
      <c r="G34" s="216"/>
      <c r="H34" s="216"/>
      <c r="I34" s="1">
        <v>27</v>
      </c>
      <c r="J34" s="61">
        <f>IF(J32&gt;J28,J32-J28,0)</f>
        <v>7544385</v>
      </c>
      <c r="K34" s="50">
        <f>IF(K32&gt;K28,K32-K28,0)</f>
        <v>7987518</v>
      </c>
    </row>
    <row r="35" spans="1:11" ht="12.75">
      <c r="A35" s="204" t="s">
        <v>132</v>
      </c>
      <c r="B35" s="205"/>
      <c r="C35" s="205"/>
      <c r="D35" s="205"/>
      <c r="E35" s="205"/>
      <c r="F35" s="205"/>
      <c r="G35" s="205"/>
      <c r="H35" s="205"/>
      <c r="I35" s="258">
        <v>0</v>
      </c>
      <c r="J35" s="258"/>
      <c r="K35" s="259"/>
    </row>
    <row r="36" spans="1:11" ht="12.75">
      <c r="A36" s="212" t="s">
        <v>144</v>
      </c>
      <c r="B36" s="213"/>
      <c r="C36" s="213"/>
      <c r="D36" s="213"/>
      <c r="E36" s="213"/>
      <c r="F36" s="213"/>
      <c r="G36" s="213"/>
      <c r="H36" s="213"/>
      <c r="I36" s="1">
        <v>28</v>
      </c>
      <c r="J36" s="5"/>
      <c r="K36" s="7"/>
    </row>
    <row r="37" spans="1:11" ht="12.75">
      <c r="A37" s="212" t="s">
        <v>23</v>
      </c>
      <c r="B37" s="213"/>
      <c r="C37" s="213"/>
      <c r="D37" s="213"/>
      <c r="E37" s="213"/>
      <c r="F37" s="213"/>
      <c r="G37" s="213"/>
      <c r="H37" s="213"/>
      <c r="I37" s="1">
        <v>29</v>
      </c>
      <c r="J37" s="7">
        <v>5956382</v>
      </c>
      <c r="K37" s="7">
        <f>7504714+90000</f>
        <v>7594714</v>
      </c>
    </row>
    <row r="38" spans="1:11" ht="12.75">
      <c r="A38" s="212" t="s">
        <v>24</v>
      </c>
      <c r="B38" s="213"/>
      <c r="C38" s="213"/>
      <c r="D38" s="213"/>
      <c r="E38" s="213"/>
      <c r="F38" s="213"/>
      <c r="G38" s="213"/>
      <c r="H38" s="213"/>
      <c r="I38" s="1">
        <v>30</v>
      </c>
      <c r="J38" s="7">
        <f>6002916-5956382</f>
        <v>46534</v>
      </c>
      <c r="K38" s="7">
        <f>7602406-7594714</f>
        <v>7692</v>
      </c>
    </row>
    <row r="39" spans="1:11" ht="12.75">
      <c r="A39" s="215" t="s">
        <v>34</v>
      </c>
      <c r="B39" s="216"/>
      <c r="C39" s="216"/>
      <c r="D39" s="216"/>
      <c r="E39" s="216"/>
      <c r="F39" s="216"/>
      <c r="G39" s="216"/>
      <c r="H39" s="216"/>
      <c r="I39" s="1">
        <v>31</v>
      </c>
      <c r="J39" s="61">
        <f>SUM(J36:J38)</f>
        <v>6002916</v>
      </c>
      <c r="K39" s="50">
        <f>SUM(K36:K38)</f>
        <v>7602406</v>
      </c>
    </row>
    <row r="40" spans="1:11" ht="12.75">
      <c r="A40" s="212" t="s">
        <v>25</v>
      </c>
      <c r="B40" s="213"/>
      <c r="C40" s="213"/>
      <c r="D40" s="213"/>
      <c r="E40" s="213"/>
      <c r="F40" s="213"/>
      <c r="G40" s="213"/>
      <c r="H40" s="213"/>
      <c r="I40" s="1">
        <v>32</v>
      </c>
      <c r="J40" s="7">
        <v>2301053</v>
      </c>
      <c r="K40" s="7">
        <v>90000</v>
      </c>
    </row>
    <row r="41" spans="1:11" ht="12.75">
      <c r="A41" s="212" t="s">
        <v>26</v>
      </c>
      <c r="B41" s="213"/>
      <c r="C41" s="213"/>
      <c r="D41" s="213"/>
      <c r="E41" s="213"/>
      <c r="F41" s="213"/>
      <c r="G41" s="213"/>
      <c r="H41" s="213"/>
      <c r="I41" s="1">
        <v>33</v>
      </c>
      <c r="J41" s="7"/>
      <c r="K41" s="7"/>
    </row>
    <row r="42" spans="1:11" ht="12.75">
      <c r="A42" s="212" t="s">
        <v>27</v>
      </c>
      <c r="B42" s="213"/>
      <c r="C42" s="213"/>
      <c r="D42" s="213"/>
      <c r="E42" s="213"/>
      <c r="F42" s="213"/>
      <c r="G42" s="213"/>
      <c r="H42" s="213"/>
      <c r="I42" s="1">
        <v>34</v>
      </c>
      <c r="J42" s="7"/>
      <c r="K42" s="7"/>
    </row>
    <row r="43" spans="1:11" ht="12.75">
      <c r="A43" s="212" t="s">
        <v>28</v>
      </c>
      <c r="B43" s="213"/>
      <c r="C43" s="213"/>
      <c r="D43" s="213"/>
      <c r="E43" s="213"/>
      <c r="F43" s="213"/>
      <c r="G43" s="213"/>
      <c r="H43" s="213"/>
      <c r="I43" s="1">
        <v>35</v>
      </c>
      <c r="J43" s="7"/>
      <c r="K43" s="7"/>
    </row>
    <row r="44" spans="1:11" ht="12.75">
      <c r="A44" s="212" t="s">
        <v>29</v>
      </c>
      <c r="B44" s="213"/>
      <c r="C44" s="213"/>
      <c r="D44" s="213"/>
      <c r="E44" s="213"/>
      <c r="F44" s="213"/>
      <c r="G44" s="213"/>
      <c r="H44" s="213"/>
      <c r="I44" s="1">
        <v>36</v>
      </c>
      <c r="J44" s="7">
        <v>38826</v>
      </c>
      <c r="K44" s="7">
        <v>33039</v>
      </c>
    </row>
    <row r="45" spans="1:11" ht="12.75">
      <c r="A45" s="215" t="s">
        <v>122</v>
      </c>
      <c r="B45" s="216"/>
      <c r="C45" s="216"/>
      <c r="D45" s="216"/>
      <c r="E45" s="216"/>
      <c r="F45" s="216"/>
      <c r="G45" s="216"/>
      <c r="H45" s="216"/>
      <c r="I45" s="1">
        <v>37</v>
      </c>
      <c r="J45" s="61">
        <f>SUM(J40:J44)</f>
        <v>2339879</v>
      </c>
      <c r="K45" s="50">
        <f>SUM(K40:K44)</f>
        <v>123039</v>
      </c>
    </row>
    <row r="46" spans="1:11" ht="12.75">
      <c r="A46" s="215" t="s">
        <v>134</v>
      </c>
      <c r="B46" s="216"/>
      <c r="C46" s="216"/>
      <c r="D46" s="216"/>
      <c r="E46" s="216"/>
      <c r="F46" s="216"/>
      <c r="G46" s="216"/>
      <c r="H46" s="216"/>
      <c r="I46" s="1">
        <v>38</v>
      </c>
      <c r="J46" s="61">
        <f>IF(J39&gt;J45,J39-J45,0)</f>
        <v>3663037</v>
      </c>
      <c r="K46" s="50">
        <f>IF(K39&gt;K45,K39-K45,0)</f>
        <v>7479367</v>
      </c>
    </row>
    <row r="47" spans="1:11" ht="12.75">
      <c r="A47" s="215" t="s">
        <v>135</v>
      </c>
      <c r="B47" s="216"/>
      <c r="C47" s="216"/>
      <c r="D47" s="216"/>
      <c r="E47" s="216"/>
      <c r="F47" s="216"/>
      <c r="G47" s="216"/>
      <c r="H47" s="216"/>
      <c r="I47" s="1">
        <v>39</v>
      </c>
      <c r="J47" s="61">
        <f>IF(J45&gt;J39,J45-J39,0)</f>
        <v>0</v>
      </c>
      <c r="K47" s="50">
        <f>IF(K45&gt;K39,K45-K39,0)</f>
        <v>0</v>
      </c>
    </row>
    <row r="48" spans="1:11" ht="12.75">
      <c r="A48" s="215" t="s">
        <v>123</v>
      </c>
      <c r="B48" s="216"/>
      <c r="C48" s="216"/>
      <c r="D48" s="216"/>
      <c r="E48" s="216"/>
      <c r="F48" s="216"/>
      <c r="G48" s="216"/>
      <c r="H48" s="216"/>
      <c r="I48" s="1">
        <v>40</v>
      </c>
      <c r="J48" s="61">
        <f>IF(J20-J21+J33-J34+J46-J47&gt;0,J20-J21+J33-J34+J46-J47,0)</f>
        <v>0</v>
      </c>
      <c r="K48" s="50">
        <f>IF(K20-K21+K33-K34+K46-K47&gt;0,K20-K21+K33-K34+K46-K47,0)</f>
        <v>0</v>
      </c>
    </row>
    <row r="49" spans="1:11" ht="12.75">
      <c r="A49" s="215" t="s">
        <v>12</v>
      </c>
      <c r="B49" s="216"/>
      <c r="C49" s="216"/>
      <c r="D49" s="216"/>
      <c r="E49" s="216"/>
      <c r="F49" s="216"/>
      <c r="G49" s="216"/>
      <c r="H49" s="216"/>
      <c r="I49" s="1">
        <v>41</v>
      </c>
      <c r="J49" s="61">
        <f>IF(J21-J20+J34-J33+J47-J46&gt;0,J21-J20+J34-J33+J47-J46,0)</f>
        <v>6982049</v>
      </c>
      <c r="K49" s="50">
        <f>IF(K21-K20+K34-K33+K47-K46&gt;0,K21-K20+K34-K33+K47-K46,0)</f>
        <v>1858591</v>
      </c>
    </row>
    <row r="50" spans="1:11" ht="12.75">
      <c r="A50" s="215" t="s">
        <v>133</v>
      </c>
      <c r="B50" s="216"/>
      <c r="C50" s="216"/>
      <c r="D50" s="216"/>
      <c r="E50" s="216"/>
      <c r="F50" s="216"/>
      <c r="G50" s="216"/>
      <c r="H50" s="216"/>
      <c r="I50" s="1">
        <v>42</v>
      </c>
      <c r="J50" s="7">
        <v>9846648</v>
      </c>
      <c r="K50" s="7">
        <v>5286803</v>
      </c>
    </row>
    <row r="51" spans="1:11" ht="12.75">
      <c r="A51" s="215" t="s">
        <v>145</v>
      </c>
      <c r="B51" s="216"/>
      <c r="C51" s="216"/>
      <c r="D51" s="216"/>
      <c r="E51" s="216"/>
      <c r="F51" s="216"/>
      <c r="G51" s="216"/>
      <c r="H51" s="216"/>
      <c r="I51" s="1">
        <v>43</v>
      </c>
      <c r="J51" s="5">
        <f>+J48</f>
        <v>0</v>
      </c>
      <c r="K51" s="7"/>
    </row>
    <row r="52" spans="1:11" ht="12.75">
      <c r="A52" s="215" t="s">
        <v>146</v>
      </c>
      <c r="B52" s="216"/>
      <c r="C52" s="216"/>
      <c r="D52" s="216"/>
      <c r="E52" s="216"/>
      <c r="F52" s="216"/>
      <c r="G52" s="216"/>
      <c r="H52" s="216"/>
      <c r="I52" s="1">
        <v>44</v>
      </c>
      <c r="J52" s="126">
        <f>+J49</f>
        <v>6982049</v>
      </c>
      <c r="K52" s="126">
        <f>+K49</f>
        <v>1858591</v>
      </c>
    </row>
    <row r="53" spans="1:11" ht="12.75">
      <c r="A53" s="227" t="s">
        <v>147</v>
      </c>
      <c r="B53" s="228"/>
      <c r="C53" s="228"/>
      <c r="D53" s="228"/>
      <c r="E53" s="228"/>
      <c r="F53" s="228"/>
      <c r="G53" s="228"/>
      <c r="H53" s="228"/>
      <c r="I53" s="4">
        <v>45</v>
      </c>
      <c r="J53" s="62">
        <f>J50+J51-J52</f>
        <v>2864599</v>
      </c>
      <c r="K53" s="58">
        <f>K50+K51-K52</f>
        <v>3428212</v>
      </c>
    </row>
    <row r="54" spans="1:11" ht="12.75">
      <c r="A54" s="65"/>
      <c r="B54" s="66"/>
      <c r="C54" s="66"/>
      <c r="D54" s="66"/>
      <c r="E54" s="66"/>
      <c r="F54" s="66"/>
      <c r="G54" s="66"/>
      <c r="H54" s="66"/>
      <c r="I54" s="66"/>
      <c r="J54" s="66"/>
      <c r="K54" s="66"/>
    </row>
  </sheetData>
  <sheetProtection/>
  <protectedRanges>
    <protectedRange sqref="J52:K52" name="Range1_6"/>
  </protectedRanges>
  <mergeCells count="53">
    <mergeCell ref="A3:K3"/>
    <mergeCell ref="A1:K1"/>
    <mergeCell ref="A2:K2"/>
    <mergeCell ref="A4:H4"/>
    <mergeCell ref="A11:H11"/>
    <mergeCell ref="A12:H12"/>
    <mergeCell ref="A5:H5"/>
    <mergeCell ref="A6:K6"/>
    <mergeCell ref="A7:H7"/>
    <mergeCell ref="A8:H8"/>
    <mergeCell ref="A9:H9"/>
    <mergeCell ref="A10:H10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K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K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52:H52"/>
    <mergeCell ref="A53:H53"/>
    <mergeCell ref="A48:H48"/>
    <mergeCell ref="A49:H49"/>
    <mergeCell ref="A50:H50"/>
    <mergeCell ref="A51:H51"/>
  </mergeCells>
  <dataValidations count="3">
    <dataValidation allowBlank="1" sqref="A1:I65536 J1:J28 J30 J32:J36 J39 J45:J49 J51 L1:IV65536 K1:K51 J53:K65536"/>
    <dataValidation type="whole" operator="notEqual" allowBlank="1" showInputMessage="1" showErrorMessage="1" errorTitle="Pogrešan unos" error="Mogu se unijeti samo cjelobrojne vrijednosti." sqref="J29 J31 J37:J38 J40:J44 J50">
      <formula1>9999999998</formula1>
    </dataValidation>
    <dataValidation operator="greaterThan" allowBlank="1" showInputMessage="1" showErrorMessage="1" sqref="J52:K52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tabSelected="1" view="pageBreakPreview" zoomScale="125" zoomScaleSheetLayoutView="125" zoomScalePageLayoutView="0" workbookViewId="0" topLeftCell="A1">
      <selection activeCell="K9" sqref="K9"/>
    </sheetView>
  </sheetViews>
  <sheetFormatPr defaultColWidth="9.140625" defaultRowHeight="12.75"/>
  <cols>
    <col min="1" max="4" width="9.140625" style="71" customWidth="1"/>
    <col min="5" max="5" width="10.140625" style="71" bestFit="1" customWidth="1"/>
    <col min="6" max="10" width="9.140625" style="71" customWidth="1"/>
    <col min="11" max="11" width="9.57421875" style="71" bestFit="1" customWidth="1"/>
    <col min="12" max="16384" width="9.140625" style="71" customWidth="1"/>
  </cols>
  <sheetData>
    <row r="1" spans="1:12" ht="12.75">
      <c r="A1" s="284" t="s">
        <v>245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70"/>
    </row>
    <row r="2" spans="1:12" ht="15.75">
      <c r="A2" s="39"/>
      <c r="B2" s="69"/>
      <c r="C2" s="269" t="s">
        <v>246</v>
      </c>
      <c r="D2" s="269"/>
      <c r="E2" s="72" t="s">
        <v>311</v>
      </c>
      <c r="F2" s="40" t="s">
        <v>215</v>
      </c>
      <c r="G2" s="270" t="s">
        <v>284</v>
      </c>
      <c r="H2" s="271"/>
      <c r="I2" s="69"/>
      <c r="J2" s="69"/>
      <c r="K2" s="69"/>
      <c r="L2" s="73"/>
    </row>
    <row r="3" spans="1:11" ht="23.25">
      <c r="A3" s="272" t="s">
        <v>39</v>
      </c>
      <c r="B3" s="272"/>
      <c r="C3" s="272"/>
      <c r="D3" s="272"/>
      <c r="E3" s="272"/>
      <c r="F3" s="272"/>
      <c r="G3" s="272"/>
      <c r="H3" s="272"/>
      <c r="I3" s="76" t="s">
        <v>269</v>
      </c>
      <c r="J3" s="77" t="s">
        <v>124</v>
      </c>
      <c r="K3" s="77" t="s">
        <v>125</v>
      </c>
    </row>
    <row r="4" spans="1:11" ht="12.75">
      <c r="A4" s="273">
        <v>1</v>
      </c>
      <c r="B4" s="273"/>
      <c r="C4" s="273"/>
      <c r="D4" s="273"/>
      <c r="E4" s="273"/>
      <c r="F4" s="273"/>
      <c r="G4" s="273"/>
      <c r="H4" s="273"/>
      <c r="I4" s="79">
        <v>2</v>
      </c>
      <c r="J4" s="78" t="s">
        <v>247</v>
      </c>
      <c r="K4" s="78" t="s">
        <v>248</v>
      </c>
    </row>
    <row r="5" spans="1:11" ht="12.75">
      <c r="A5" s="274" t="s">
        <v>249</v>
      </c>
      <c r="B5" s="275"/>
      <c r="C5" s="275"/>
      <c r="D5" s="275"/>
      <c r="E5" s="275"/>
      <c r="F5" s="275"/>
      <c r="G5" s="275"/>
      <c r="H5" s="275"/>
      <c r="I5" s="41">
        <v>1</v>
      </c>
      <c r="J5" s="42">
        <v>103144000</v>
      </c>
      <c r="K5" s="42">
        <v>103144000</v>
      </c>
    </row>
    <row r="6" spans="1:11" ht="12.75">
      <c r="A6" s="274" t="s">
        <v>250</v>
      </c>
      <c r="B6" s="275"/>
      <c r="C6" s="275"/>
      <c r="D6" s="275"/>
      <c r="E6" s="275"/>
      <c r="F6" s="275"/>
      <c r="G6" s="275"/>
      <c r="H6" s="275"/>
      <c r="I6" s="41">
        <v>2</v>
      </c>
      <c r="J6" s="43"/>
      <c r="K6" s="43"/>
    </row>
    <row r="7" spans="1:11" ht="12.75">
      <c r="A7" s="274" t="s">
        <v>251</v>
      </c>
      <c r="B7" s="275"/>
      <c r="C7" s="275"/>
      <c r="D7" s="275"/>
      <c r="E7" s="275"/>
      <c r="F7" s="275"/>
      <c r="G7" s="275"/>
      <c r="H7" s="275"/>
      <c r="I7" s="41">
        <v>3</v>
      </c>
      <c r="J7" s="43">
        <v>9808842</v>
      </c>
      <c r="K7" s="43">
        <v>9808842</v>
      </c>
    </row>
    <row r="8" spans="1:11" ht="12.75">
      <c r="A8" s="274" t="s">
        <v>252</v>
      </c>
      <c r="B8" s="275"/>
      <c r="C8" s="275"/>
      <c r="D8" s="275"/>
      <c r="E8" s="275"/>
      <c r="F8" s="275"/>
      <c r="G8" s="275"/>
      <c r="H8" s="275"/>
      <c r="I8" s="41">
        <v>4</v>
      </c>
      <c r="J8" s="43">
        <v>-10950014</v>
      </c>
      <c r="K8" s="43">
        <v>-15094469</v>
      </c>
    </row>
    <row r="9" spans="1:11" ht="12.75">
      <c r="A9" s="274" t="s">
        <v>253</v>
      </c>
      <c r="B9" s="275"/>
      <c r="C9" s="275"/>
      <c r="D9" s="275"/>
      <c r="E9" s="275"/>
      <c r="F9" s="275"/>
      <c r="G9" s="275"/>
      <c r="H9" s="275"/>
      <c r="I9" s="41">
        <v>5</v>
      </c>
      <c r="J9" s="43">
        <v>-8972079</v>
      </c>
      <c r="K9" s="43">
        <v>-10880590</v>
      </c>
    </row>
    <row r="10" spans="1:11" ht="12.75">
      <c r="A10" s="274" t="s">
        <v>254</v>
      </c>
      <c r="B10" s="275"/>
      <c r="C10" s="275"/>
      <c r="D10" s="275"/>
      <c r="E10" s="275"/>
      <c r="F10" s="275"/>
      <c r="G10" s="275"/>
      <c r="H10" s="275"/>
      <c r="I10" s="41">
        <v>6</v>
      </c>
      <c r="J10" s="43">
        <v>27164505</v>
      </c>
      <c r="K10" s="43">
        <v>27164505</v>
      </c>
    </row>
    <row r="11" spans="1:11" ht="12.75">
      <c r="A11" s="274" t="s">
        <v>255</v>
      </c>
      <c r="B11" s="275"/>
      <c r="C11" s="275"/>
      <c r="D11" s="275"/>
      <c r="E11" s="275"/>
      <c r="F11" s="275"/>
      <c r="G11" s="275"/>
      <c r="H11" s="275"/>
      <c r="I11" s="41">
        <v>7</v>
      </c>
      <c r="J11" s="43"/>
      <c r="K11" s="43"/>
    </row>
    <row r="12" spans="1:11" ht="12.75">
      <c r="A12" s="274" t="s">
        <v>256</v>
      </c>
      <c r="B12" s="275"/>
      <c r="C12" s="275"/>
      <c r="D12" s="275"/>
      <c r="E12" s="275"/>
      <c r="F12" s="275"/>
      <c r="G12" s="275"/>
      <c r="H12" s="275"/>
      <c r="I12" s="41">
        <v>8</v>
      </c>
      <c r="J12" s="43"/>
      <c r="K12" s="43"/>
    </row>
    <row r="13" spans="1:11" ht="12.75">
      <c r="A13" s="274" t="s">
        <v>257</v>
      </c>
      <c r="B13" s="275"/>
      <c r="C13" s="275"/>
      <c r="D13" s="275"/>
      <c r="E13" s="275"/>
      <c r="F13" s="275"/>
      <c r="G13" s="275"/>
      <c r="H13" s="275"/>
      <c r="I13" s="41">
        <v>9</v>
      </c>
      <c r="J13" s="43"/>
      <c r="K13" s="43"/>
    </row>
    <row r="14" spans="1:11" ht="12.75">
      <c r="A14" s="276" t="s">
        <v>258</v>
      </c>
      <c r="B14" s="277"/>
      <c r="C14" s="277"/>
      <c r="D14" s="277"/>
      <c r="E14" s="277"/>
      <c r="F14" s="277"/>
      <c r="G14" s="277"/>
      <c r="H14" s="277"/>
      <c r="I14" s="41">
        <v>10</v>
      </c>
      <c r="J14" s="74">
        <f>SUM(J5:J13)</f>
        <v>120195254</v>
      </c>
      <c r="K14" s="74">
        <f>SUM(K5:K13)</f>
        <v>114142288</v>
      </c>
    </row>
    <row r="15" spans="1:11" ht="12.75">
      <c r="A15" s="274" t="s">
        <v>259</v>
      </c>
      <c r="B15" s="275"/>
      <c r="C15" s="275"/>
      <c r="D15" s="275"/>
      <c r="E15" s="275"/>
      <c r="F15" s="275"/>
      <c r="G15" s="275"/>
      <c r="H15" s="275"/>
      <c r="I15" s="41">
        <v>11</v>
      </c>
      <c r="J15" s="43"/>
      <c r="K15" s="43"/>
    </row>
    <row r="16" spans="1:11" ht="12.75">
      <c r="A16" s="274" t="s">
        <v>260</v>
      </c>
      <c r="B16" s="275"/>
      <c r="C16" s="275"/>
      <c r="D16" s="275"/>
      <c r="E16" s="275"/>
      <c r="F16" s="275"/>
      <c r="G16" s="275"/>
      <c r="H16" s="275"/>
      <c r="I16" s="41">
        <v>12</v>
      </c>
      <c r="J16" s="43"/>
      <c r="K16" s="43"/>
    </row>
    <row r="17" spans="1:11" ht="12.75">
      <c r="A17" s="274" t="s">
        <v>261</v>
      </c>
      <c r="B17" s="275"/>
      <c r="C17" s="275"/>
      <c r="D17" s="275"/>
      <c r="E17" s="275"/>
      <c r="F17" s="275"/>
      <c r="G17" s="275"/>
      <c r="H17" s="275"/>
      <c r="I17" s="41">
        <v>13</v>
      </c>
      <c r="J17" s="43"/>
      <c r="K17" s="43"/>
    </row>
    <row r="18" spans="1:11" ht="12.75">
      <c r="A18" s="274" t="s">
        <v>262</v>
      </c>
      <c r="B18" s="275"/>
      <c r="C18" s="275"/>
      <c r="D18" s="275"/>
      <c r="E18" s="275"/>
      <c r="F18" s="275"/>
      <c r="G18" s="275"/>
      <c r="H18" s="275"/>
      <c r="I18" s="41">
        <v>14</v>
      </c>
      <c r="J18" s="43"/>
      <c r="K18" s="43"/>
    </row>
    <row r="19" spans="1:11" ht="12.75">
      <c r="A19" s="274" t="s">
        <v>263</v>
      </c>
      <c r="B19" s="275"/>
      <c r="C19" s="275"/>
      <c r="D19" s="275"/>
      <c r="E19" s="275"/>
      <c r="F19" s="275"/>
      <c r="G19" s="275"/>
      <c r="H19" s="275"/>
      <c r="I19" s="41">
        <v>15</v>
      </c>
      <c r="J19" s="43"/>
      <c r="K19" s="43"/>
    </row>
    <row r="20" spans="1:11" ht="12.75">
      <c r="A20" s="274" t="s">
        <v>264</v>
      </c>
      <c r="B20" s="275"/>
      <c r="C20" s="275"/>
      <c r="D20" s="275"/>
      <c r="E20" s="275"/>
      <c r="F20" s="275"/>
      <c r="G20" s="275"/>
      <c r="H20" s="275"/>
      <c r="I20" s="41">
        <v>16</v>
      </c>
      <c r="J20" s="43"/>
      <c r="K20" s="43"/>
    </row>
    <row r="21" spans="1:11" ht="12.75">
      <c r="A21" s="276" t="s">
        <v>265</v>
      </c>
      <c r="B21" s="277"/>
      <c r="C21" s="277"/>
      <c r="D21" s="277"/>
      <c r="E21" s="277"/>
      <c r="F21" s="277"/>
      <c r="G21" s="277"/>
      <c r="H21" s="277"/>
      <c r="I21" s="41">
        <v>17</v>
      </c>
      <c r="J21" s="75">
        <f>SUM(J15:J20)</f>
        <v>0</v>
      </c>
      <c r="K21" s="75">
        <f>SUM(K15:K20)</f>
        <v>0</v>
      </c>
    </row>
    <row r="22" spans="1:11" ht="12.75">
      <c r="A22" s="286"/>
      <c r="B22" s="287"/>
      <c r="C22" s="287"/>
      <c r="D22" s="287"/>
      <c r="E22" s="287"/>
      <c r="F22" s="287"/>
      <c r="G22" s="287"/>
      <c r="H22" s="287"/>
      <c r="I22" s="288"/>
      <c r="J22" s="288"/>
      <c r="K22" s="289"/>
    </row>
    <row r="23" spans="1:11" ht="12.75">
      <c r="A23" s="278" t="s">
        <v>266</v>
      </c>
      <c r="B23" s="279"/>
      <c r="C23" s="279"/>
      <c r="D23" s="279"/>
      <c r="E23" s="279"/>
      <c r="F23" s="279"/>
      <c r="G23" s="279"/>
      <c r="H23" s="279"/>
      <c r="I23" s="44">
        <v>18</v>
      </c>
      <c r="J23" s="42"/>
      <c r="K23" s="42"/>
    </row>
    <row r="24" spans="1:11" ht="17.25" customHeight="1">
      <c r="A24" s="280" t="s">
        <v>267</v>
      </c>
      <c r="B24" s="281"/>
      <c r="C24" s="281"/>
      <c r="D24" s="281"/>
      <c r="E24" s="281"/>
      <c r="F24" s="281"/>
      <c r="G24" s="281"/>
      <c r="H24" s="281"/>
      <c r="I24" s="45">
        <v>19</v>
      </c>
      <c r="J24" s="75"/>
      <c r="K24" s="75"/>
    </row>
    <row r="25" spans="1:11" ht="30" customHeight="1">
      <c r="A25" s="282" t="s">
        <v>268</v>
      </c>
      <c r="B25" s="283"/>
      <c r="C25" s="283"/>
      <c r="D25" s="283"/>
      <c r="E25" s="283"/>
      <c r="F25" s="283"/>
      <c r="G25" s="283"/>
      <c r="H25" s="283"/>
      <c r="I25" s="283"/>
      <c r="J25" s="283"/>
      <c r="K25" s="283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9:H9"/>
    <mergeCell ref="A10:H10"/>
    <mergeCell ref="A17:H17"/>
    <mergeCell ref="A18:H18"/>
    <mergeCell ref="A11:H11"/>
    <mergeCell ref="A12:H12"/>
    <mergeCell ref="A13:H13"/>
    <mergeCell ref="A14:H14"/>
    <mergeCell ref="A5:H5"/>
    <mergeCell ref="A6:H6"/>
    <mergeCell ref="A7:H7"/>
    <mergeCell ref="A8:H8"/>
    <mergeCell ref="C2:D2"/>
    <mergeCell ref="G2:H2"/>
    <mergeCell ref="A3:H3"/>
    <mergeCell ref="A4:H4"/>
  </mergeCells>
  <conditionalFormatting sqref="G2">
    <cfRule type="cellIs" priority="1" dxfId="0" operator="lessThan" stopIfTrue="1">
      <formula>#REF!</formula>
    </cfRule>
  </conditionalFormatting>
  <dataValidations count="2">
    <dataValidation allowBlank="1" sqref="A1:I65536 K1:IV65536 J1:J4 J12:J65536"/>
    <dataValidation type="whole" operator="notEqual" allowBlank="1" showInputMessage="1" showErrorMessage="1" errorTitle="Pogrešan unos" error="Mogu se unijeti samo cjelobrojne vrijednosti." sqref="J5:J11">
      <formula1>999999999999</formula1>
    </dataValidation>
  </dataValidation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Marijanav</cp:lastModifiedBy>
  <cp:lastPrinted>2012-07-24T09:59:18Z</cp:lastPrinted>
  <dcterms:created xsi:type="dcterms:W3CDTF">2008-10-17T11:51:54Z</dcterms:created>
  <dcterms:modified xsi:type="dcterms:W3CDTF">2012-07-26T07:46:05Z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