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<sst xmlns="http://schemas.openxmlformats.org/spreadsheetml/2006/main" count="341" uniqueCount="309">
  <si>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</si>
  <si>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</si>
  <si>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</si>
  <si>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</si>
  <si>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</si>
  <si>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</si>
  <si>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</si>
  <si>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</si>
  <si>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</si>
  <si>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</si>
  <si>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</si>
  <si>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</si>
  <si>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</si>
  <si>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</si>
  <si>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</si>
  <si>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</si>
  <si>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</si>
  <si>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</si>
  <si>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</si>
  <si>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</si>
  <si>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</si>
  <si>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</si>
  <si>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</si>
  <si>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</si>
  <si>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</si>
  <si>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</si>
  <si>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</si>
  <si>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</si>
  <si>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</si>
  <si>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</si>
  <si>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</si>
  <si>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</si>
  <si>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</si>
  <si>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</si>
  <si>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</si>
  <si>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</si>
  <si>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</si>
  <si>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</si>
  <si>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</si>
  <si>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</si>
  <si>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</si>
  <si>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</si>
  <si>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</si>
  <si>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</si>
  <si>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</si>
  <si>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</si>
  <si>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</si>
  <si>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</si>
  <si>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</si>
  <si>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</si>
  <si>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</si>
  <si>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</si>
  <si>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</si>
  <si>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</si>
  <si>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</si>
  <si>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</si>
  <si>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</si>
  <si>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</si>
  <si>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</si>
  <si>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</si>
  <si>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</si>
  <si>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</si>
  <si>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</si>
  <si>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</si>
  <si>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</si>
  <si>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</si>
  <si>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</si>
  <si>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</si>
  <si>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</si>
  <si>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</si>
  <si>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</si>
  <si>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</si>
  <si>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</si>
  <si>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</si>
  <si>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</si>
  <si>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</si>
  <si>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</si>
  <si>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</si>
  <si>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</si>
  <si>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</si>
  <si>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</si>
  <si>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</si>
  <si>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</si>
  <si>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</si>
  <si>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</si>
  <si>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</si>
  <si>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</si>
  <si>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</si>
  <si>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</si>
  <si>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</si>
  <si>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</si>
  <si>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</si>
  <si>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</si>
  <si>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</si>
  <si>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</si>
  <si>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</si>
  <si>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</si>
  <si>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</si>
  <si>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</si>
  <si>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</si>
  <si>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</si>
  <si>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</si>
  <si>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</si>
  <si>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</si>
  <si>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</si>
  <si>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</si>
  <si>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</si>
  <si>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</si>
  <si>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</si>
  <si>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</si>
  <si>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</si>
  <si>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</si>
  <si>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</si>
  <si>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</si>
  <si>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</si>
  <si>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</si>
  <si>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</si>
  <si>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</si>
  <si>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</si>
  <si>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</si>
  <si>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</si>
  <si>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</si>
  <si>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</si>
  <si>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</si>
  <si>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</si>
  <si>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</si>
  <si>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</si>
  <si>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</si>
  <si>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</si>
  <si>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</si>
  <si>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</si>
  <si>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</si>
  <si>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</si>
  <si>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</si>
  <si>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</si>
  <si>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</si>
  <si>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</si>
  <si>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</si>
  <si>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</si>
  <si>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</si>
  <si>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</si>
  <si>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</si>
  <si>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</si>
  <si>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</si>
  <si>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</si>
  <si>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</si>
  <si>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</si>
  <si>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</si>
  <si>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</si>
  <si>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</si>
  <si>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</si>
  <si>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</si>
  <si>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</si>
  <si>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</si>
  <si>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</si>
  <si>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</si>
  <si>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</si>
  <si>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</si>
  <si>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</si>
  <si>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</si>
  <si>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</si>
  <si>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</si>
  <si>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</si>
  <si>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</si>
  <si>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</si>
  <si>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</si>
  <si>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</si>
  <si>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</si>
  <si>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</si>
  <si>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</si>
  <si>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</si>
  <si>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</si>
  <si>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</si>
  <si>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</si>
  <si>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</si>
  <si>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</si>
  <si>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</si>
  <si>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</si>
  <si>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</si>
  <si>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</si>
  <si>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</si>
  <si>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</si>
  <si>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</si>
  <si>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</si>
  <si>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</si>
  <si>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</si>
  <si>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</si>
  <si>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</si>
  <si>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</si>
  <si>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</si>
  <si>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</si>
  <si>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</si>
  <si>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</si>
  <si>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</si>
  <si>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</si>
  <si>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</si>
  <si>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</si>
  <si>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</si>
  <si>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</si>
  <si>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</si>
  <si>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</si>
  <si>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</si>
  <si>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</si>
  <si>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</si>
  <si>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</si>
  <si>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</si>
  <si>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</si>
  <si>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</si>
  <si>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</si>
  <si>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</si>
  <si>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</si>
  <si>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</si>
  <si>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</si>
  <si>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</si>
  <si>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</si>
  <si>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</si>
  <si>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</si>
  <si>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</si>
  <si>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</si>
  <si>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</si>
  <si>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</si>
  <si>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</si>
  <si>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</si>
  <si>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</si>
  <si>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</si>
  <si>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</si>
  <si>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</si>
  <si>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</si>
  <si>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</si>
  <si>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</si>
  <si>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</si>
  <si>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</si>
  <si>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</si>
  <si>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</si>
  <si>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</si>
  <si>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</si>
  <si>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</si>
  <si>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</si>
  <si>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</si>
  <si>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</si>
  <si>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</si>
  <si>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</si>
  <si>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</si>
  <si>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</si>
  <si>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</si>
  <si>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</si>
  <si>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</si>
  <si>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</si>
  <si>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</si>
  <si>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</si>
  <si>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</si>
  <si>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</si>
  <si>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</si>
  <si>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</si>
  <si>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</si>
  <si>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</si>
  <si>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</si>
  <si>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</si>
  <si>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</si>
  <si>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</si>
  <si>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</si>
  <si>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</si>
  <si>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</si>
  <si>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</si>
  <si>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</si>
  <si>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</si>
  <si>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</si>
  <si>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</si>
  <si>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</si>
  <si>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</si>
  <si>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</si>
  <si>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</si>
  <si>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</si>
  <si>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</si>
  <si>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</si>
  <si>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</si>
  <si>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</si>
  <si>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</si>
  <si>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</si>
  <si>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</si>
  <si>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</si>
  <si>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</si>
  <si>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</si>
  <si>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</si>
  <si>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</si>
  <si>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</si>
  <si>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</si>
  <si>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31.12.2011.</t>
  </si>
  <si>
    <t>03440885</t>
  </si>
  <si>
    <t>060008247</t>
  </si>
  <si>
    <t>88557173997</t>
  </si>
  <si>
    <t>HOTELI MAESTRAL d.d.</t>
  </si>
  <si>
    <t>DUBROVNIK</t>
  </si>
  <si>
    <t>Ćira Carića 3</t>
  </si>
  <si>
    <t>hotelimaestral@hotelimaestral.com</t>
  </si>
  <si>
    <t>www.hotelimaestral</t>
  </si>
  <si>
    <t>DUBROVAČKO-NERETVANSKA</t>
  </si>
  <si>
    <t>NE</t>
  </si>
  <si>
    <t>5510</t>
  </si>
  <si>
    <t>Marijana Zuanić</t>
  </si>
  <si>
    <t>020/433-600</t>
  </si>
  <si>
    <t>020/435-656</t>
  </si>
  <si>
    <t>mr.sc. Obuljen Davorko</t>
  </si>
  <si>
    <t>stanje na dan 31.12.2011.</t>
  </si>
  <si>
    <t>u razdoblju 01.01.2011. do 31.12.2011.</t>
  </si>
  <si>
    <t>Prethodno razdoblje 01.01.-31.12.2010.</t>
  </si>
  <si>
    <t>01.01.2011.</t>
  </si>
  <si>
    <t>Obveznik: HOTELI MAESTRAL d.d.</t>
  </si>
  <si>
    <t>Tekuće razdoblje           01.01.-31.12.2011.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</si>
</sst>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0" fontId="3" fillId="0" borderId="16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Border="1" applyAlignment="1">
      <alignment/>
      <protection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17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18" xfId="58" applyFont="1" applyBorder="1" applyAlignment="1" applyProtection="1">
      <alignment/>
      <protection hidden="1"/>
    </xf>
    <xf numFmtId="0" fontId="3" fillId="0" borderId="18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8" applyFont="1" applyBorder="1" applyAlignment="1">
      <alignment/>
      <protection/>
    </xf>
    <xf numFmtId="0" fontId="3" fillId="0" borderId="24" xfId="58" applyFont="1" applyBorder="1" applyAlignment="1">
      <alignment/>
      <protection/>
    </xf>
    <xf numFmtId="0" fontId="3" fillId="0" borderId="25" xfId="58" applyFont="1" applyFill="1" applyBorder="1" applyAlignment="1" applyProtection="1">
      <alignment horizontal="left" vertical="center" wrapText="1"/>
      <protection hidden="1"/>
    </xf>
    <xf numFmtId="0" fontId="3" fillId="0" borderId="16" xfId="58" applyFont="1" applyFill="1" applyBorder="1" applyAlignment="1" applyProtection="1">
      <alignment vertical="center"/>
      <protection hidden="1"/>
    </xf>
    <xf numFmtId="0" fontId="3" fillId="0" borderId="25" xfId="58" applyFont="1" applyBorder="1" applyAlignment="1" applyProtection="1">
      <alignment horizontal="left" vertical="center" wrapText="1"/>
      <protection hidden="1"/>
    </xf>
    <xf numFmtId="0" fontId="3" fillId="0" borderId="16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3" fillId="0" borderId="25" xfId="58" applyFont="1" applyFill="1" applyBorder="1" applyAlignment="1" applyProtection="1">
      <alignment/>
      <protection hidden="1"/>
    </xf>
    <xf numFmtId="0" fontId="3" fillId="0" borderId="25" xfId="58" applyFont="1" applyBorder="1" applyAlignment="1" applyProtection="1">
      <alignment wrapText="1"/>
      <protection hidden="1"/>
    </xf>
    <xf numFmtId="0" fontId="3" fillId="0" borderId="16" xfId="58" applyFont="1" applyBorder="1" applyAlignment="1" applyProtection="1">
      <alignment horizontal="right"/>
      <protection hidden="1"/>
    </xf>
    <xf numFmtId="0" fontId="3" fillId="0" borderId="25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0" fontId="2" fillId="0" borderId="25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 applyProtection="1">
      <alignment vertical="top"/>
      <protection hidden="1"/>
    </xf>
    <xf numFmtId="0" fontId="3" fillId="0" borderId="25" xfId="58" applyFont="1" applyBorder="1" applyAlignment="1" applyProtection="1">
      <alignment horizontal="left" vertical="top" wrapText="1"/>
      <protection hidden="1"/>
    </xf>
    <xf numFmtId="0" fontId="3" fillId="0" borderId="16" xfId="58" applyFont="1" applyBorder="1" applyAlignment="1">
      <alignment/>
      <protection/>
    </xf>
    <xf numFmtId="0" fontId="3" fillId="0" borderId="25" xfId="58" applyFont="1" applyBorder="1" applyAlignment="1" applyProtection="1">
      <alignment horizontal="left" vertical="top" indent="2"/>
      <protection hidden="1"/>
    </xf>
    <xf numFmtId="0" fontId="3" fillId="0" borderId="25" xfId="58" applyFont="1" applyBorder="1" applyAlignment="1" applyProtection="1">
      <alignment horizontal="left" vertical="top" wrapText="1" indent="2"/>
      <protection hidden="1"/>
    </xf>
    <xf numFmtId="0" fontId="3" fillId="0" borderId="16" xfId="58" applyFont="1" applyBorder="1" applyAlignment="1" applyProtection="1">
      <alignment horizontal="right" vertical="top"/>
      <protection hidden="1"/>
    </xf>
    <xf numFmtId="49" fontId="2" fillId="0" borderId="25" xfId="58" applyNumberFormat="1" applyFont="1" applyBorder="1" applyAlignment="1" applyProtection="1">
      <alignment horizontal="center" vertical="center"/>
      <protection hidden="1" locked="0"/>
    </xf>
    <xf numFmtId="0" fontId="3" fillId="0" borderId="16" xfId="58" applyFont="1" applyBorder="1" applyAlignment="1" applyProtection="1">
      <alignment horizontal="left" vertical="top"/>
      <protection hidden="1"/>
    </xf>
    <xf numFmtId="0" fontId="3" fillId="0" borderId="25" xfId="58" applyFont="1" applyBorder="1" applyAlignment="1" applyProtection="1">
      <alignment horizontal="left"/>
      <protection hidden="1"/>
    </xf>
    <xf numFmtId="0" fontId="3" fillId="0" borderId="24" xfId="58" applyFont="1" applyBorder="1" applyAlignment="1" applyProtection="1">
      <alignment/>
      <protection hidden="1"/>
    </xf>
    <xf numFmtId="0" fontId="3" fillId="0" borderId="16" xfId="58" applyFont="1" applyBorder="1" applyAlignment="1" applyProtection="1">
      <alignment horizontal="left"/>
      <protection hidden="1"/>
    </xf>
    <xf numFmtId="0" fontId="3" fillId="0" borderId="25" xfId="58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8" applyFont="1" applyBorder="1" applyAlignment="1" applyProtection="1">
      <alignment vertical="center"/>
      <protection hidden="1"/>
    </xf>
    <xf numFmtId="0" fontId="3" fillId="0" borderId="26" xfId="58" applyFont="1" applyBorder="1" applyAlignment="1" applyProtection="1">
      <alignment/>
      <protection hidden="1"/>
    </xf>
    <xf numFmtId="0" fontId="3" fillId="0" borderId="27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 horizontal="right" vertical="top" wrapText="1"/>
      <protection hidden="1"/>
    </xf>
    <xf numFmtId="0" fontId="3" fillId="0" borderId="28" xfId="58" applyFont="1" applyFill="1" applyBorder="1" applyAlignment="1" applyProtection="1">
      <alignment/>
      <protection hidden="1"/>
    </xf>
    <xf numFmtId="0" fontId="3" fillId="0" borderId="29" xfId="58" applyFont="1" applyFill="1" applyBorder="1" applyAlignment="1" applyProtection="1">
      <alignment/>
      <protection hidden="1"/>
    </xf>
    <xf numFmtId="14" fontId="2" fillId="0" borderId="21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Fill="1" applyBorder="1" applyAlignment="1">
      <alignment/>
      <protection/>
    </xf>
    <xf numFmtId="49" fontId="2" fillId="0" borderId="0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0" xfId="58" applyNumberFormat="1" applyFont="1" applyFill="1" applyBorder="1" applyAlignment="1" applyProtection="1">
      <alignment horizontal="center" vertical="center"/>
      <protection hidden="1" locked="0"/>
    </xf>
    <xf numFmtId="3" fontId="2" fillId="24" borderId="20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20" xfId="58" applyFont="1" applyFill="1" applyBorder="1" applyAlignment="1" applyProtection="1">
      <alignment horizontal="center" vertical="center"/>
      <protection hidden="1" locked="0"/>
    </xf>
    <xf numFmtId="49" fontId="2" fillId="24" borderId="20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0" xfId="15" applyNumberFormat="1" applyFont="1" applyFill="1" applyBorder="1" applyAlignment="1" applyProtection="1">
      <alignment horizontal="right" vertical="center"/>
      <protection locked="0"/>
    </xf>
    <xf numFmtId="0" fontId="3" fillId="0" borderId="0" xfId="58" applyFont="1" applyBorder="1" applyAlignment="1" applyProtection="1">
      <alignment horizontal="right" vertical="center"/>
      <protection hidden="1"/>
    </xf>
    <xf numFmtId="0" fontId="4" fillId="24" borderId="27" xfId="54" applyFill="1" applyBorder="1" applyAlignment="1" applyProtection="1">
      <alignment/>
      <protection hidden="1" locked="0"/>
    </xf>
    <xf numFmtId="0" fontId="2" fillId="0" borderId="28" xfId="58" applyFont="1" applyBorder="1" applyAlignment="1" applyProtection="1">
      <alignment/>
      <protection hidden="1" locked="0"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25" xfId="58" applyFont="1" applyBorder="1" applyAlignment="1">
      <alignment horizontal="center"/>
      <protection/>
    </xf>
    <xf numFmtId="0" fontId="3" fillId="0" borderId="28" xfId="15" applyFont="1" applyBorder="1" applyAlignment="1">
      <alignment horizontal="left"/>
      <protection/>
    </xf>
    <xf numFmtId="0" fontId="3" fillId="0" borderId="29" xfId="15" applyFont="1" applyBorder="1" applyAlignment="1">
      <alignment horizontal="left"/>
      <protection/>
    </xf>
    <xf numFmtId="0" fontId="3" fillId="0" borderId="16" xfId="58" applyFont="1" applyBorder="1" applyAlignment="1" applyProtection="1">
      <alignment horizontal="center" vertical="center"/>
      <protection hidden="1"/>
    </xf>
    <xf numFmtId="0" fontId="3" fillId="0" borderId="0" xfId="58" applyFont="1" applyBorder="1" applyAlignment="1">
      <alignment horizontal="center" vertic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Border="1" applyAlignment="1">
      <alignment horizontal="center" vertical="center"/>
      <protection/>
    </xf>
    <xf numFmtId="0" fontId="2" fillId="0" borderId="27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10" fillId="0" borderId="30" xfId="58" applyFont="1" applyBorder="1" applyAlignment="1">
      <alignment/>
      <protection/>
    </xf>
    <xf numFmtId="0" fontId="10" fillId="0" borderId="17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17" xfId="58" applyFont="1" applyBorder="1" applyAlignment="1" applyProtection="1">
      <alignment horizontal="center"/>
      <protection hidden="1"/>
    </xf>
    <xf numFmtId="0" fontId="2" fillId="24" borderId="27" xfId="15" applyFont="1" applyFill="1" applyBorder="1" applyAlignment="1" applyProtection="1">
      <alignment horizontal="left" vertical="center"/>
      <protection hidden="1" locked="0"/>
    </xf>
    <xf numFmtId="0" fontId="2" fillId="0" borderId="28" xfId="15" applyFont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 applyProtection="1">
      <alignment horizontal="center" vertical="top"/>
      <protection hidden="1"/>
    </xf>
    <xf numFmtId="0" fontId="3" fillId="0" borderId="28" xfId="58" applyFont="1" applyFill="1" applyBorder="1" applyAlignment="1" applyProtection="1">
      <alignment horizontal="center"/>
      <protection hidden="1"/>
    </xf>
    <xf numFmtId="0" fontId="3" fillId="0" borderId="16" xfId="58" applyFont="1" applyBorder="1" applyAlignment="1" applyProtection="1">
      <alignment horizontal="right" vertical="center" wrapText="1"/>
      <protection hidden="1"/>
    </xf>
    <xf numFmtId="0" fontId="3" fillId="0" borderId="25" xfId="58" applyFont="1" applyBorder="1" applyAlignment="1" applyProtection="1">
      <alignment horizontal="right" wrapText="1"/>
      <protection hidden="1"/>
    </xf>
    <xf numFmtId="49" fontId="4" fillId="24" borderId="27" xfId="54" applyNumberFormat="1" applyFill="1" applyBorder="1" applyAlignment="1" applyProtection="1">
      <alignment horizontal="left" vertical="center"/>
      <protection hidden="1" locked="0"/>
    </xf>
    <xf numFmtId="49" fontId="2" fillId="0" borderId="28" xfId="15" applyNumberFormat="1" applyFont="1" applyBorder="1" applyAlignment="1" applyProtection="1">
      <alignment horizontal="left" vertical="center"/>
      <protection hidden="1" locked="0"/>
    </xf>
    <xf numFmtId="49" fontId="2" fillId="0" borderId="29" xfId="15" applyNumberFormat="1" applyFont="1" applyBorder="1" applyAlignment="1" applyProtection="1">
      <alignment horizontal="left" vertical="center"/>
      <protection hidden="1" locked="0"/>
    </xf>
    <xf numFmtId="0" fontId="3" fillId="0" borderId="16" xfId="58" applyFont="1" applyBorder="1" applyAlignment="1" applyProtection="1">
      <alignment horizontal="right" vertical="center"/>
      <protection hidden="1"/>
    </xf>
    <xf numFmtId="0" fontId="3" fillId="0" borderId="25" xfId="58" applyFont="1" applyBorder="1" applyAlignment="1" applyProtection="1">
      <alignment horizontal="right"/>
      <protection hidden="1"/>
    </xf>
    <xf numFmtId="49" fontId="2" fillId="24" borderId="27" xfId="15" applyNumberFormat="1" applyFont="1" applyFill="1" applyBorder="1" applyAlignment="1" applyProtection="1">
      <alignment horizontal="left" vertical="center"/>
      <protection hidden="1" locked="0"/>
    </xf>
    <xf numFmtId="0" fontId="3" fillId="0" borderId="29" xfId="15" applyFont="1" applyBorder="1" applyAlignment="1">
      <alignment horizontal="left" vertical="center"/>
      <protection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2" xfId="58" applyFont="1" applyBorder="1" applyAlignment="1">
      <alignment/>
      <protection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Fill="1" applyBorder="1" applyAlignment="1">
      <alignment/>
      <protection/>
    </xf>
    <xf numFmtId="0" fontId="3" fillId="0" borderId="29" xfId="58" applyFont="1" applyFill="1" applyBorder="1" applyAlignment="1">
      <alignment/>
      <protection/>
    </xf>
    <xf numFmtId="49" fontId="2" fillId="24" borderId="27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8" xfId="15" applyFont="1" applyBorder="1" applyAlignment="1">
      <alignment horizontal="left" vertical="center"/>
      <protection/>
    </xf>
    <xf numFmtId="0" fontId="2" fillId="24" borderId="27" xfId="58" applyFont="1" applyFill="1" applyBorder="1" applyAlignment="1" applyProtection="1">
      <alignment horizontal="left" vertical="center"/>
      <protection hidden="1" locked="0"/>
    </xf>
    <xf numFmtId="0" fontId="3" fillId="0" borderId="28" xfId="58" applyFont="1" applyBorder="1" applyAlignment="1">
      <alignment horizontal="left" vertical="center"/>
      <protection/>
    </xf>
    <xf numFmtId="0" fontId="3" fillId="0" borderId="29" xfId="58" applyFont="1" applyBorder="1" applyAlignment="1">
      <alignment horizontal="left" vertical="center"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1" fontId="2" fillId="24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16" xfId="58" applyFont="1" applyBorder="1" applyAlignment="1" applyProtection="1">
      <alignment horizontal="right" wrapText="1"/>
      <protection hidden="1"/>
    </xf>
    <xf numFmtId="49" fontId="2" fillId="24" borderId="27" xfId="15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15" applyNumberFormat="1" applyFont="1" applyBorder="1" applyAlignment="1" applyProtection="1">
      <alignment horizontal="center" vertical="center"/>
      <protection hidden="1" locked="0"/>
    </xf>
    <xf numFmtId="0" fontId="2" fillId="0" borderId="16" xfId="58" applyFont="1" applyFill="1" applyBorder="1" applyAlignment="1" applyProtection="1">
      <alignment horizontal="left" vertical="center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5" xfId="58" applyFont="1" applyFill="1" applyBorder="1" applyAlignment="1" applyProtection="1">
      <alignment horizontal="left" vertical="center" wrapText="1"/>
      <protection hidden="1"/>
    </xf>
    <xf numFmtId="0" fontId="11" fillId="0" borderId="16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5" xfId="58" applyFont="1" applyBorder="1" applyAlignment="1" applyProtection="1">
      <alignment horizontal="center" vertical="center" wrapText="1"/>
      <protection hidden="1"/>
    </xf>
    <xf numFmtId="49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1" fillId="0" borderId="16" xfId="58" applyFont="1" applyBorder="1" applyAlignment="1" applyProtection="1">
      <alignment horizontal="right" vertical="center" wrapText="1"/>
      <protection hidden="1"/>
    </xf>
    <xf numFmtId="0" fontId="1" fillId="0" borderId="25" xfId="58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0" fillId="0" borderId="22" xfId="0" applyFont="1" applyFill="1" applyBorder="1" applyAlignment="1" applyProtection="1">
      <alignment vertical="center" wrapText="1"/>
      <protection hidden="1"/>
    </xf>
    <xf numFmtId="0" fontId="0" fillId="0" borderId="33" xfId="0" applyFont="1" applyFill="1" applyBorder="1" applyAlignment="1" applyProtection="1">
      <alignment vertical="center" wrapText="1"/>
      <protection hidden="1"/>
    </xf>
    <xf numFmtId="0" fontId="0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telimaestral@hotelimaestral.com" TargetMode="External" /><Relationship Id="rId2" Type="http://schemas.openxmlformats.org/officeDocument/2006/relationships/hyperlink" Target="http://www.hotelimaestral/" TargetMode="External" /><Relationship Id="rId3" Type="http://schemas.openxmlformats.org/officeDocument/2006/relationships/hyperlink" Target="mailto:hotelimaestral@hotelimaestral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3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9" t="s">
        <v>213</v>
      </c>
      <c r="B1" s="140"/>
      <c r="C1" s="140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86" t="s">
        <v>214</v>
      </c>
      <c r="B2" s="187"/>
      <c r="C2" s="187"/>
      <c r="D2" s="188"/>
      <c r="E2" s="115" t="s">
        <v>286</v>
      </c>
      <c r="F2" s="12"/>
      <c r="G2" s="13" t="s">
        <v>215</v>
      </c>
      <c r="H2" s="115" t="s">
        <v>287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9" t="s">
        <v>280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216</v>
      </c>
      <c r="B6" s="154"/>
      <c r="C6" s="192" t="s">
        <v>288</v>
      </c>
      <c r="D6" s="193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94" t="s">
        <v>217</v>
      </c>
      <c r="B8" s="195"/>
      <c r="C8" s="184" t="s">
        <v>289</v>
      </c>
      <c r="D8" s="185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218</v>
      </c>
      <c r="B10" s="182"/>
      <c r="C10" s="184" t="s">
        <v>290</v>
      </c>
      <c r="D10" s="185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83"/>
      <c r="B11" s="182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3" t="s">
        <v>219</v>
      </c>
      <c r="B12" s="154"/>
      <c r="C12" s="177" t="s">
        <v>291</v>
      </c>
      <c r="D12" s="178"/>
      <c r="E12" s="178"/>
      <c r="F12" s="178"/>
      <c r="G12" s="178"/>
      <c r="H12" s="178"/>
      <c r="I12" s="179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3" t="s">
        <v>220</v>
      </c>
      <c r="B14" s="154"/>
      <c r="C14" s="180">
        <v>20000</v>
      </c>
      <c r="D14" s="181"/>
      <c r="E14" s="16"/>
      <c r="F14" s="177" t="s">
        <v>292</v>
      </c>
      <c r="G14" s="178"/>
      <c r="H14" s="178"/>
      <c r="I14" s="179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3" t="s">
        <v>221</v>
      </c>
      <c r="B16" s="154"/>
      <c r="C16" s="144" t="s">
        <v>293</v>
      </c>
      <c r="D16" s="176"/>
      <c r="E16" s="176"/>
      <c r="F16" s="176"/>
      <c r="G16" s="176"/>
      <c r="H16" s="176"/>
      <c r="I16" s="15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3" t="s">
        <v>222</v>
      </c>
      <c r="B18" s="154"/>
      <c r="C18" s="125" t="s">
        <v>294</v>
      </c>
      <c r="D18" s="126"/>
      <c r="E18" s="126"/>
      <c r="F18" s="126"/>
      <c r="G18" s="126"/>
      <c r="H18" s="126"/>
      <c r="I18" s="174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3" t="s">
        <v>223</v>
      </c>
      <c r="B20" s="154"/>
      <c r="C20" s="125" t="s">
        <v>295</v>
      </c>
      <c r="D20" s="126"/>
      <c r="E20" s="126"/>
      <c r="F20" s="126"/>
      <c r="G20" s="126"/>
      <c r="H20" s="126"/>
      <c r="I20" s="174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3" t="s">
        <v>224</v>
      </c>
      <c r="B22" s="154"/>
      <c r="C22" s="119">
        <v>98</v>
      </c>
      <c r="D22" s="144" t="s">
        <v>292</v>
      </c>
      <c r="E22" s="130"/>
      <c r="F22" s="131"/>
      <c r="G22" s="153"/>
      <c r="H22" s="175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3" t="s">
        <v>225</v>
      </c>
      <c r="B24" s="154"/>
      <c r="C24" s="119">
        <v>19</v>
      </c>
      <c r="D24" s="144" t="s">
        <v>296</v>
      </c>
      <c r="E24" s="130"/>
      <c r="F24" s="130"/>
      <c r="G24" s="131"/>
      <c r="H24" s="48" t="s">
        <v>226</v>
      </c>
      <c r="I24" s="120">
        <v>182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281</v>
      </c>
      <c r="I25" s="93"/>
      <c r="J25" s="10"/>
      <c r="K25" s="10"/>
      <c r="L25" s="10"/>
    </row>
    <row r="26" spans="1:12" ht="12.75">
      <c r="A26" s="153" t="s">
        <v>227</v>
      </c>
      <c r="B26" s="154"/>
      <c r="C26" s="121" t="s">
        <v>297</v>
      </c>
      <c r="D26" s="25"/>
      <c r="E26" s="33"/>
      <c r="F26" s="24"/>
      <c r="G26" s="124" t="s">
        <v>228</v>
      </c>
      <c r="H26" s="154"/>
      <c r="I26" s="122" t="s">
        <v>298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32" t="s">
        <v>229</v>
      </c>
      <c r="B28" s="133"/>
      <c r="C28" s="134"/>
      <c r="D28" s="134"/>
      <c r="E28" s="135" t="s">
        <v>230</v>
      </c>
      <c r="F28" s="127"/>
      <c r="G28" s="127"/>
      <c r="H28" s="128" t="s">
        <v>231</v>
      </c>
      <c r="I28" s="129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36"/>
      <c r="B30" s="169"/>
      <c r="C30" s="169"/>
      <c r="D30" s="170"/>
      <c r="E30" s="136"/>
      <c r="F30" s="169"/>
      <c r="G30" s="169"/>
      <c r="H30" s="166"/>
      <c r="I30" s="167"/>
      <c r="J30" s="10"/>
      <c r="K30" s="10"/>
      <c r="L30" s="10"/>
    </row>
    <row r="31" spans="1:12" ht="12.75">
      <c r="A31" s="89"/>
      <c r="B31" s="22"/>
      <c r="C31" s="21"/>
      <c r="D31" s="137"/>
      <c r="E31" s="137"/>
      <c r="F31" s="137"/>
      <c r="G31" s="138"/>
      <c r="H31" s="16"/>
      <c r="I31" s="96"/>
      <c r="J31" s="10"/>
      <c r="K31" s="10"/>
      <c r="L31" s="10"/>
    </row>
    <row r="32" spans="1:12" ht="12.75">
      <c r="A32" s="136"/>
      <c r="B32" s="169"/>
      <c r="C32" s="169"/>
      <c r="D32" s="170"/>
      <c r="E32" s="136"/>
      <c r="F32" s="169"/>
      <c r="G32" s="169"/>
      <c r="H32" s="166"/>
      <c r="I32" s="16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36"/>
      <c r="B34" s="169"/>
      <c r="C34" s="169"/>
      <c r="D34" s="170"/>
      <c r="E34" s="136"/>
      <c r="F34" s="169"/>
      <c r="G34" s="169"/>
      <c r="H34" s="166"/>
      <c r="I34" s="16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36"/>
      <c r="B36" s="169"/>
      <c r="C36" s="169"/>
      <c r="D36" s="170"/>
      <c r="E36" s="136"/>
      <c r="F36" s="169"/>
      <c r="G36" s="169"/>
      <c r="H36" s="166"/>
      <c r="I36" s="167"/>
      <c r="J36" s="10"/>
      <c r="K36" s="10"/>
      <c r="L36" s="10"/>
    </row>
    <row r="37" spans="1:12" ht="12.75">
      <c r="A37" s="98"/>
      <c r="B37" s="30"/>
      <c r="C37" s="141"/>
      <c r="D37" s="142"/>
      <c r="E37" s="16"/>
      <c r="F37" s="141"/>
      <c r="G37" s="142"/>
      <c r="H37" s="16"/>
      <c r="I37" s="90"/>
      <c r="J37" s="10"/>
      <c r="K37" s="10"/>
      <c r="L37" s="10"/>
    </row>
    <row r="38" spans="1:12" ht="12.75">
      <c r="A38" s="136"/>
      <c r="B38" s="169"/>
      <c r="C38" s="169"/>
      <c r="D38" s="170"/>
      <c r="E38" s="136"/>
      <c r="F38" s="169"/>
      <c r="G38" s="169"/>
      <c r="H38" s="166"/>
      <c r="I38" s="16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36"/>
      <c r="B40" s="169"/>
      <c r="C40" s="169"/>
      <c r="D40" s="170"/>
      <c r="E40" s="136"/>
      <c r="F40" s="169"/>
      <c r="G40" s="169"/>
      <c r="H40" s="166"/>
      <c r="I40" s="167"/>
      <c r="J40" s="10"/>
      <c r="K40" s="10"/>
      <c r="L40" s="10"/>
    </row>
    <row r="41" spans="1:12" ht="12.75">
      <c r="A41" s="116"/>
      <c r="B41" s="33"/>
      <c r="C41" s="33"/>
      <c r="D41" s="33"/>
      <c r="E41" s="23"/>
      <c r="F41" s="117"/>
      <c r="G41" s="117"/>
      <c r="H41" s="118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8" t="s">
        <v>232</v>
      </c>
      <c r="B44" s="149"/>
      <c r="C44" s="166"/>
      <c r="D44" s="167"/>
      <c r="E44" s="26"/>
      <c r="F44" s="168"/>
      <c r="G44" s="169"/>
      <c r="H44" s="169"/>
      <c r="I44" s="170"/>
      <c r="J44" s="10"/>
      <c r="K44" s="10"/>
      <c r="L44" s="10"/>
    </row>
    <row r="45" spans="1:12" ht="12.75">
      <c r="A45" s="98"/>
      <c r="B45" s="30"/>
      <c r="C45" s="141"/>
      <c r="D45" s="142"/>
      <c r="E45" s="16"/>
      <c r="F45" s="141"/>
      <c r="G45" s="143"/>
      <c r="H45" s="35"/>
      <c r="I45" s="102"/>
      <c r="J45" s="10"/>
      <c r="K45" s="10"/>
      <c r="L45" s="10"/>
    </row>
    <row r="46" spans="1:12" ht="12.75">
      <c r="A46" s="148" t="s">
        <v>233</v>
      </c>
      <c r="B46" s="149"/>
      <c r="C46" s="144" t="s">
        <v>299</v>
      </c>
      <c r="D46" s="145"/>
      <c r="E46" s="145"/>
      <c r="F46" s="145"/>
      <c r="G46" s="145"/>
      <c r="H46" s="145"/>
      <c r="I46" s="145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8" t="s">
        <v>235</v>
      </c>
      <c r="B48" s="149"/>
      <c r="C48" s="171" t="s">
        <v>300</v>
      </c>
      <c r="D48" s="172"/>
      <c r="E48" s="173"/>
      <c r="F48" s="16"/>
      <c r="G48" s="48" t="s">
        <v>236</v>
      </c>
      <c r="H48" s="155" t="s">
        <v>301</v>
      </c>
      <c r="I48" s="152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8" t="s">
        <v>222</v>
      </c>
      <c r="B50" s="149"/>
      <c r="C50" s="150" t="s">
        <v>294</v>
      </c>
      <c r="D50" s="151"/>
      <c r="E50" s="151"/>
      <c r="F50" s="151"/>
      <c r="G50" s="151"/>
      <c r="H50" s="151"/>
      <c r="I50" s="152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3" t="s">
        <v>237</v>
      </c>
      <c r="B52" s="154"/>
      <c r="C52" s="155" t="s">
        <v>302</v>
      </c>
      <c r="D52" s="151"/>
      <c r="E52" s="151"/>
      <c r="F52" s="151"/>
      <c r="G52" s="151"/>
      <c r="H52" s="151"/>
      <c r="I52" s="156"/>
      <c r="J52" s="10"/>
      <c r="K52" s="10"/>
      <c r="L52" s="10"/>
    </row>
    <row r="53" spans="1:12" ht="12.75">
      <c r="A53" s="103"/>
      <c r="B53" s="20"/>
      <c r="C53" s="162" t="s">
        <v>238</v>
      </c>
      <c r="D53" s="162"/>
      <c r="E53" s="162"/>
      <c r="F53" s="162"/>
      <c r="G53" s="162"/>
      <c r="H53" s="16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57" t="s">
        <v>239</v>
      </c>
      <c r="C55" s="158"/>
      <c r="D55" s="158"/>
      <c r="E55" s="158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59" t="s">
        <v>270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03"/>
      <c r="B57" s="159" t="s">
        <v>271</v>
      </c>
      <c r="C57" s="160"/>
      <c r="D57" s="160"/>
      <c r="E57" s="160"/>
      <c r="F57" s="160"/>
      <c r="G57" s="160"/>
      <c r="H57" s="160"/>
      <c r="I57" s="105"/>
      <c r="J57" s="10"/>
      <c r="K57" s="10"/>
      <c r="L57" s="10"/>
    </row>
    <row r="58" spans="1:12" ht="12.75">
      <c r="A58" s="103"/>
      <c r="B58" s="159" t="s">
        <v>272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03"/>
      <c r="B59" s="159" t="s">
        <v>273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63" t="s">
        <v>242</v>
      </c>
      <c r="H62" s="164"/>
      <c r="I62" s="16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46"/>
      <c r="H63" s="147"/>
      <c r="I63" s="114"/>
      <c r="J63" s="10"/>
      <c r="K63" s="10"/>
      <c r="L63" s="10"/>
    </row>
  </sheetData>
  <sheetProtection/>
  <protectedRanges>
    <protectedRange sqref="E2 H2 A34:D34 A32:I32 A30:I30" name="Range1"/>
    <protectedRange sqref="C6:D6" name="Range1_1"/>
    <protectedRange sqref="C8:D8" name="Range1_1_1"/>
    <protectedRange sqref="C10:D10" name="Range1_2"/>
    <protectedRange sqref="C12:I12" name="Range1_1_1_1"/>
    <protectedRange sqref="C14:D14" name="Range1_3"/>
    <protectedRange sqref="F14:I14" name="Range1_3_1"/>
    <protectedRange sqref="C16:I16" name="Range1_5"/>
    <protectedRange sqref="C18:I18" name="Range1_2_1"/>
    <protectedRange sqref="C20:I20" name="Range1_3_1_1"/>
    <protectedRange sqref="C22" name="Range1_4"/>
    <protectedRange sqref="D22:F22" name="Range1_7"/>
    <protectedRange sqref="C24" name="Range1_6"/>
    <protectedRange sqref="D24:G24" name="Range1_4_2"/>
    <protectedRange sqref="I24" name="Range1_8"/>
    <protectedRange sqref="C26" name="Range1_9"/>
    <protectedRange sqref="I26" name="Range1_4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hotelimaestral@hotelimaestral.com"/>
    <hyperlink ref="C20" r:id="rId2" display="www.hotelimaestral"/>
    <hyperlink ref="C50" r:id="rId3" display="hotelimaestral@hotelimaestral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M20" sqref="M20"/>
    </sheetView>
  </sheetViews>
  <sheetFormatPr defaultColWidth="9.140625" defaultRowHeight="12.75"/>
  <cols>
    <col min="1" max="9" width="9.140625" style="49" customWidth="1"/>
    <col min="10" max="11" width="9.7109375" style="49" customWidth="1"/>
    <col min="12" max="16384" width="9.140625" style="49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303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307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39</v>
      </c>
      <c r="B4" s="202"/>
      <c r="C4" s="202"/>
      <c r="D4" s="202"/>
      <c r="E4" s="202"/>
      <c r="F4" s="202"/>
      <c r="G4" s="202"/>
      <c r="H4" s="203"/>
      <c r="I4" s="55" t="s">
        <v>243</v>
      </c>
      <c r="J4" s="56" t="s">
        <v>282</v>
      </c>
      <c r="K4" s="57" t="s">
        <v>283</v>
      </c>
    </row>
    <row r="5" spans="1:11" ht="12.75">
      <c r="A5" s="204">
        <v>1</v>
      </c>
      <c r="B5" s="204"/>
      <c r="C5" s="204"/>
      <c r="D5" s="204"/>
      <c r="E5" s="204"/>
      <c r="F5" s="204"/>
      <c r="G5" s="204"/>
      <c r="H5" s="204"/>
      <c r="I5" s="54">
        <v>2</v>
      </c>
      <c r="J5" s="53">
        <v>3</v>
      </c>
      <c r="K5" s="53">
        <v>4</v>
      </c>
    </row>
    <row r="6" spans="1:11" ht="12.75">
      <c r="A6" s="205"/>
      <c r="B6" s="206"/>
      <c r="C6" s="206"/>
      <c r="D6" s="206"/>
      <c r="E6" s="206"/>
      <c r="F6" s="206"/>
      <c r="G6" s="206"/>
      <c r="H6" s="206"/>
      <c r="I6" s="206"/>
      <c r="J6" s="206"/>
      <c r="K6" s="207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10"/>
      <c r="I7" s="3">
        <v>1</v>
      </c>
      <c r="J7" s="6"/>
      <c r="K7" s="6"/>
    </row>
    <row r="8" spans="1:11" ht="12.75">
      <c r="A8" s="211" t="s">
        <v>10</v>
      </c>
      <c r="B8" s="212"/>
      <c r="C8" s="212"/>
      <c r="D8" s="212"/>
      <c r="E8" s="212"/>
      <c r="F8" s="212"/>
      <c r="G8" s="212"/>
      <c r="H8" s="213"/>
      <c r="I8" s="1">
        <v>2</v>
      </c>
      <c r="J8" s="50">
        <f>J9+J16+J26+J35+J39</f>
        <v>214660367</v>
      </c>
      <c r="K8" s="50">
        <f>K9+K16+K26+K35+K39</f>
        <v>210048123</v>
      </c>
    </row>
    <row r="9" spans="1:11" ht="12.75">
      <c r="A9" s="214" t="s">
        <v>170</v>
      </c>
      <c r="B9" s="215"/>
      <c r="C9" s="215"/>
      <c r="D9" s="215"/>
      <c r="E9" s="215"/>
      <c r="F9" s="215"/>
      <c r="G9" s="215"/>
      <c r="H9" s="216"/>
      <c r="I9" s="1">
        <v>3</v>
      </c>
      <c r="J9" s="50">
        <f>SUM(J10:J15)</f>
        <v>306109</v>
      </c>
      <c r="K9" s="50">
        <f>SUM(K10:K15)</f>
        <v>184569</v>
      </c>
    </row>
    <row r="10" spans="1:11" ht="12.75">
      <c r="A10" s="214" t="s">
        <v>88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11</v>
      </c>
      <c r="B11" s="215"/>
      <c r="C11" s="215"/>
      <c r="D11" s="215"/>
      <c r="E11" s="215"/>
      <c r="F11" s="215"/>
      <c r="G11" s="215"/>
      <c r="H11" s="216"/>
      <c r="I11" s="1">
        <v>5</v>
      </c>
      <c r="J11" s="7">
        <v>306109</v>
      </c>
      <c r="K11" s="7">
        <v>184569</v>
      </c>
    </row>
    <row r="12" spans="1:11" ht="12.75">
      <c r="A12" s="214" t="s">
        <v>89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173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174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175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171</v>
      </c>
      <c r="B16" s="215"/>
      <c r="C16" s="215"/>
      <c r="D16" s="215"/>
      <c r="E16" s="215"/>
      <c r="F16" s="215"/>
      <c r="G16" s="215"/>
      <c r="H16" s="216"/>
      <c r="I16" s="1">
        <v>10</v>
      </c>
      <c r="J16" s="50">
        <f>SUM(J17:J25)</f>
        <v>213777786</v>
      </c>
      <c r="K16" s="50">
        <f>SUM(K17:K25)</f>
        <v>209597669</v>
      </c>
    </row>
    <row r="17" spans="1:11" ht="12.75">
      <c r="A17" s="214" t="s">
        <v>176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137089765</v>
      </c>
      <c r="K17" s="7">
        <v>137089765</v>
      </c>
    </row>
    <row r="18" spans="1:11" ht="12.75">
      <c r="A18" s="214" t="s">
        <v>212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f>149131202-90793067-1017522-1875784</f>
        <v>55444829</v>
      </c>
      <c r="K18" s="7">
        <f>149131202-93626449-1082582-1993722</f>
        <v>52428449</v>
      </c>
    </row>
    <row r="19" spans="1:11" ht="12.75">
      <c r="A19" s="214" t="s">
        <v>177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f>25818574-1052376-85887-5516871-1874421-7170047-2917330-332053</f>
        <v>6869589</v>
      </c>
      <c r="K19" s="7">
        <f>25221691-1192065-92641-5096063-1878626-7269963-3262480-391524</f>
        <v>6038329</v>
      </c>
    </row>
    <row r="20" spans="1:11" ht="12.75">
      <c r="A20" s="214" t="s">
        <v>21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f>19593530-860677-29294-15062292-1741746-160404-452149</f>
        <v>1286968</v>
      </c>
      <c r="K20" s="7">
        <f>19316388-964073-30608-14958499-1743776-208602-456339</f>
        <v>954491</v>
      </c>
    </row>
    <row r="21" spans="1:11" ht="12.75">
      <c r="A21" s="214" t="s">
        <v>22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48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49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997100</v>
      </c>
      <c r="K23" s="7">
        <v>997100</v>
      </c>
    </row>
    <row r="24" spans="1:11" ht="12.75">
      <c r="A24" s="214" t="s">
        <v>50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361833</v>
      </c>
      <c r="K24" s="7">
        <v>361833</v>
      </c>
    </row>
    <row r="25" spans="1:11" ht="12.75">
      <c r="A25" s="214" t="s">
        <v>51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11727702</v>
      </c>
      <c r="K25" s="7">
        <v>11727702</v>
      </c>
    </row>
    <row r="26" spans="1:11" ht="12.75">
      <c r="A26" s="214" t="s">
        <v>155</v>
      </c>
      <c r="B26" s="215"/>
      <c r="C26" s="215"/>
      <c r="D26" s="215"/>
      <c r="E26" s="215"/>
      <c r="F26" s="215"/>
      <c r="G26" s="215"/>
      <c r="H26" s="216"/>
      <c r="I26" s="1">
        <v>20</v>
      </c>
      <c r="J26" s="50">
        <f>SUM(J27:J34)</f>
        <v>576472</v>
      </c>
      <c r="K26" s="50">
        <f>SUM(K27:K34)</f>
        <v>265885</v>
      </c>
    </row>
    <row r="27" spans="1:11" ht="12.75">
      <c r="A27" s="214" t="s">
        <v>52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/>
      <c r="K27" s="7"/>
    </row>
    <row r="28" spans="1:11" ht="12.75">
      <c r="A28" s="214" t="s">
        <v>53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/>
      <c r="K28" s="7"/>
    </row>
    <row r="29" spans="1:11" ht="12.75">
      <c r="A29" s="214" t="s">
        <v>54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f>109500+93332+373640</f>
        <v>576472</v>
      </c>
      <c r="K29" s="7">
        <f>115508+109500+40877</f>
        <v>265885</v>
      </c>
    </row>
    <row r="30" spans="1:11" ht="12.75">
      <c r="A30" s="214" t="s">
        <v>59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60</v>
      </c>
      <c r="B31" s="215"/>
      <c r="C31" s="215"/>
      <c r="D31" s="215"/>
      <c r="E31" s="215"/>
      <c r="F31" s="215"/>
      <c r="G31" s="215"/>
      <c r="H31" s="216"/>
      <c r="I31" s="1">
        <v>25</v>
      </c>
      <c r="J31" s="7"/>
      <c r="K31" s="7"/>
    </row>
    <row r="32" spans="1:11" ht="12.75">
      <c r="A32" s="214" t="s">
        <v>61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55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148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/>
      <c r="K34" s="7"/>
    </row>
    <row r="35" spans="1:11" ht="12.75">
      <c r="A35" s="214" t="s">
        <v>149</v>
      </c>
      <c r="B35" s="215"/>
      <c r="C35" s="215"/>
      <c r="D35" s="215"/>
      <c r="E35" s="215"/>
      <c r="F35" s="215"/>
      <c r="G35" s="215"/>
      <c r="H35" s="216"/>
      <c r="I35" s="1">
        <v>29</v>
      </c>
      <c r="J35" s="50">
        <f>SUM(J36:J38)</f>
        <v>0</v>
      </c>
      <c r="K35" s="50">
        <f>SUM(K36:K38)</f>
        <v>0</v>
      </c>
    </row>
    <row r="36" spans="1:11" ht="12.75">
      <c r="A36" s="214" t="s">
        <v>56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57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58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150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1" t="s">
        <v>205</v>
      </c>
      <c r="B40" s="212"/>
      <c r="C40" s="212"/>
      <c r="D40" s="212"/>
      <c r="E40" s="212"/>
      <c r="F40" s="212"/>
      <c r="G40" s="212"/>
      <c r="H40" s="213"/>
      <c r="I40" s="1">
        <v>34</v>
      </c>
      <c r="J40" s="50">
        <f>J41+J49+J56+J64</f>
        <v>14347378</v>
      </c>
      <c r="K40" s="50">
        <f>K41+K49+K56+K64</f>
        <v>9023834</v>
      </c>
    </row>
    <row r="41" spans="1:11" ht="12.75">
      <c r="A41" s="214" t="s">
        <v>76</v>
      </c>
      <c r="B41" s="215"/>
      <c r="C41" s="215"/>
      <c r="D41" s="215"/>
      <c r="E41" s="215"/>
      <c r="F41" s="215"/>
      <c r="G41" s="215"/>
      <c r="H41" s="216"/>
      <c r="I41" s="1">
        <v>35</v>
      </c>
      <c r="J41" s="50">
        <f>SUM(J42:J48)</f>
        <v>768016</v>
      </c>
      <c r="K41" s="50">
        <f>SUM(K42:K48)</f>
        <v>778768</v>
      </c>
    </row>
    <row r="42" spans="1:11" ht="12.75">
      <c r="A42" s="214" t="s">
        <v>91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f>760672-160936</f>
        <v>599736</v>
      </c>
      <c r="K42" s="7">
        <f>772552-11759</f>
        <v>760793</v>
      </c>
    </row>
    <row r="43" spans="1:11" ht="12.75">
      <c r="A43" s="214" t="s">
        <v>92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/>
      <c r="K43" s="7"/>
    </row>
    <row r="44" spans="1:11" ht="12.75">
      <c r="A44" s="214" t="s">
        <v>62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/>
      <c r="K44" s="7"/>
    </row>
    <row r="45" spans="1:11" ht="12.75">
      <c r="A45" s="214" t="s">
        <v>63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>
        <v>7344</v>
      </c>
      <c r="K45" s="7">
        <v>6216</v>
      </c>
    </row>
    <row r="46" spans="1:11" ht="12.75">
      <c r="A46" s="214" t="s">
        <v>64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>
        <v>160936</v>
      </c>
      <c r="K46" s="7">
        <v>11759</v>
      </c>
    </row>
    <row r="47" spans="1:11" ht="12.75">
      <c r="A47" s="214" t="s">
        <v>65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66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77</v>
      </c>
      <c r="B49" s="215"/>
      <c r="C49" s="215"/>
      <c r="D49" s="215"/>
      <c r="E49" s="215"/>
      <c r="F49" s="215"/>
      <c r="G49" s="215"/>
      <c r="H49" s="216"/>
      <c r="I49" s="1">
        <v>43</v>
      </c>
      <c r="J49" s="50">
        <f>SUM(J50:J55)</f>
        <v>3718328</v>
      </c>
      <c r="K49" s="50">
        <f>SUM(K50:K55)</f>
        <v>2949607</v>
      </c>
    </row>
    <row r="50" spans="1:11" ht="12.75">
      <c r="A50" s="214" t="s">
        <v>165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/>
      <c r="K50" s="7"/>
    </row>
    <row r="51" spans="1:11" ht="12.75">
      <c r="A51" s="214" t="s">
        <v>166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1489659</v>
      </c>
      <c r="K51" s="7">
        <v>804745</v>
      </c>
    </row>
    <row r="52" spans="1:11" ht="12.75">
      <c r="A52" s="214" t="s">
        <v>167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168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68396</v>
      </c>
      <c r="K53" s="7">
        <v>26638</v>
      </c>
    </row>
    <row r="54" spans="1:11" ht="12.75">
      <c r="A54" s="214" t="s">
        <v>7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f>130648+455062</f>
        <v>585710</v>
      </c>
      <c r="K54" s="7">
        <f>184931+349259</f>
        <v>534190</v>
      </c>
    </row>
    <row r="55" spans="1:11" ht="12.75">
      <c r="A55" s="214" t="s">
        <v>8</v>
      </c>
      <c r="B55" s="215"/>
      <c r="C55" s="215"/>
      <c r="D55" s="215"/>
      <c r="E55" s="215"/>
      <c r="F55" s="215"/>
      <c r="G55" s="215"/>
      <c r="H55" s="216"/>
      <c r="I55" s="1">
        <v>49</v>
      </c>
      <c r="J55" s="7">
        <f>27364+9505764-7958565</f>
        <v>1574563</v>
      </c>
      <c r="K55" s="7">
        <f>33911+2003624-453501</f>
        <v>1584034</v>
      </c>
    </row>
    <row r="56" spans="1:11" ht="12.75">
      <c r="A56" s="214" t="s">
        <v>78</v>
      </c>
      <c r="B56" s="215"/>
      <c r="C56" s="215"/>
      <c r="D56" s="215"/>
      <c r="E56" s="215"/>
      <c r="F56" s="215"/>
      <c r="G56" s="215"/>
      <c r="H56" s="216"/>
      <c r="I56" s="1">
        <v>50</v>
      </c>
      <c r="J56" s="50">
        <f>SUM(J57:J63)</f>
        <v>14386</v>
      </c>
      <c r="K56" s="50">
        <f>SUM(K57:K63)</f>
        <v>6532</v>
      </c>
    </row>
    <row r="57" spans="1:11" ht="12.75">
      <c r="A57" s="214" t="s">
        <v>52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53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/>
      <c r="K58" s="7"/>
    </row>
    <row r="59" spans="1:11" ht="12.75">
      <c r="A59" s="214" t="s">
        <v>207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</row>
    <row r="60" spans="1:11" ht="12.75">
      <c r="A60" s="214" t="s">
        <v>59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60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/>
      <c r="K61" s="7"/>
    </row>
    <row r="62" spans="1:11" ht="12.75">
      <c r="A62" s="214" t="s">
        <v>61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14386</v>
      </c>
      <c r="K62" s="7">
        <v>6532</v>
      </c>
    </row>
    <row r="63" spans="1:11" ht="12.75">
      <c r="A63" s="214" t="s">
        <v>31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/>
    </row>
    <row r="64" spans="1:11" ht="12.75">
      <c r="A64" s="214" t="s">
        <v>172</v>
      </c>
      <c r="B64" s="215"/>
      <c r="C64" s="215"/>
      <c r="D64" s="215"/>
      <c r="E64" s="215"/>
      <c r="F64" s="215"/>
      <c r="G64" s="215"/>
      <c r="H64" s="216"/>
      <c r="I64" s="1">
        <v>58</v>
      </c>
      <c r="J64" s="7">
        <v>9846648</v>
      </c>
      <c r="K64" s="7">
        <v>5288927</v>
      </c>
    </row>
    <row r="65" spans="1:11" ht="12.75">
      <c r="A65" s="211" t="s">
        <v>36</v>
      </c>
      <c r="B65" s="212"/>
      <c r="C65" s="212"/>
      <c r="D65" s="212"/>
      <c r="E65" s="212"/>
      <c r="F65" s="212"/>
      <c r="G65" s="212"/>
      <c r="H65" s="213"/>
      <c r="I65" s="1">
        <v>59</v>
      </c>
      <c r="J65" s="7">
        <v>626838</v>
      </c>
      <c r="K65" s="7">
        <v>696754</v>
      </c>
    </row>
    <row r="66" spans="1:11" ht="12.75">
      <c r="A66" s="211" t="s">
        <v>206</v>
      </c>
      <c r="B66" s="212"/>
      <c r="C66" s="212"/>
      <c r="D66" s="212"/>
      <c r="E66" s="212"/>
      <c r="F66" s="212"/>
      <c r="G66" s="212"/>
      <c r="H66" s="213"/>
      <c r="I66" s="1">
        <v>60</v>
      </c>
      <c r="J66" s="50">
        <f>J7+J8+J40+J65</f>
        <v>229634583</v>
      </c>
      <c r="K66" s="50">
        <f>K7+K8+K40+K65</f>
        <v>219768711</v>
      </c>
    </row>
    <row r="67" spans="1:11" ht="12.75">
      <c r="A67" s="217" t="s">
        <v>67</v>
      </c>
      <c r="B67" s="218"/>
      <c r="C67" s="218"/>
      <c r="D67" s="218"/>
      <c r="E67" s="218"/>
      <c r="F67" s="218"/>
      <c r="G67" s="218"/>
      <c r="H67" s="219"/>
      <c r="I67" s="4">
        <v>61</v>
      </c>
      <c r="J67" s="8">
        <v>108026196</v>
      </c>
      <c r="K67" s="8">
        <v>108026196</v>
      </c>
    </row>
    <row r="68" spans="1:11" ht="12.75">
      <c r="A68" s="220" t="s">
        <v>38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208" t="s">
        <v>156</v>
      </c>
      <c r="B69" s="209"/>
      <c r="C69" s="209"/>
      <c r="D69" s="209"/>
      <c r="E69" s="209"/>
      <c r="F69" s="209"/>
      <c r="G69" s="209"/>
      <c r="H69" s="210"/>
      <c r="I69" s="3">
        <v>62</v>
      </c>
      <c r="J69" s="51">
        <f>J70+J71+J72+J78+J79+J82+J85</f>
        <v>129167333</v>
      </c>
      <c r="K69" s="51">
        <f>K70+K71+K72+K78+K79+K82+K85</f>
        <v>125226416</v>
      </c>
    </row>
    <row r="70" spans="1:11" ht="12.75">
      <c r="A70" s="214" t="s">
        <v>115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103144000</v>
      </c>
      <c r="K70" s="7">
        <v>103144000</v>
      </c>
    </row>
    <row r="71" spans="1:11" ht="12.75">
      <c r="A71" s="214" t="s">
        <v>116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/>
      <c r="K71" s="7"/>
    </row>
    <row r="72" spans="1:11" ht="12.75">
      <c r="A72" s="214" t="s">
        <v>117</v>
      </c>
      <c r="B72" s="215"/>
      <c r="C72" s="215"/>
      <c r="D72" s="215"/>
      <c r="E72" s="215"/>
      <c r="F72" s="215"/>
      <c r="G72" s="215"/>
      <c r="H72" s="216"/>
      <c r="I72" s="1">
        <v>65</v>
      </c>
      <c r="J72" s="50">
        <f>J73+J74-J75+J76+J77</f>
        <v>9808842</v>
      </c>
      <c r="K72" s="50">
        <f>K73+K74-K75+K76+K77</f>
        <v>9808842</v>
      </c>
    </row>
    <row r="73" spans="1:11" ht="12.75">
      <c r="A73" s="214" t="s">
        <v>118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216263</v>
      </c>
      <c r="K73" s="7">
        <v>216263</v>
      </c>
    </row>
    <row r="74" spans="1:11" ht="12.75">
      <c r="A74" s="214" t="s">
        <v>119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/>
      <c r="K74" s="7"/>
    </row>
    <row r="75" spans="1:11" ht="12.75">
      <c r="A75" s="214" t="s">
        <v>107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108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1" ht="12.75">
      <c r="A77" s="214" t="s">
        <v>109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9592579</v>
      </c>
      <c r="K77" s="7">
        <v>9592579</v>
      </c>
    </row>
    <row r="78" spans="1:11" ht="12.75">
      <c r="A78" s="214" t="s">
        <v>110</v>
      </c>
      <c r="B78" s="215"/>
      <c r="C78" s="215"/>
      <c r="D78" s="215"/>
      <c r="E78" s="215"/>
      <c r="F78" s="215"/>
      <c r="G78" s="215"/>
      <c r="H78" s="216"/>
      <c r="I78" s="1">
        <v>71</v>
      </c>
      <c r="J78" s="7">
        <v>27164505</v>
      </c>
      <c r="K78" s="7">
        <v>27164505</v>
      </c>
    </row>
    <row r="79" spans="1:11" ht="12.75">
      <c r="A79" s="214" t="s">
        <v>203</v>
      </c>
      <c r="B79" s="215"/>
      <c r="C79" s="215"/>
      <c r="D79" s="215"/>
      <c r="E79" s="215"/>
      <c r="F79" s="215"/>
      <c r="G79" s="215"/>
      <c r="H79" s="216"/>
      <c r="I79" s="1">
        <v>72</v>
      </c>
      <c r="J79" s="50">
        <f>J80-J81</f>
        <v>-2857099</v>
      </c>
      <c r="K79" s="50">
        <f>K80-K81</f>
        <v>-10950014</v>
      </c>
    </row>
    <row r="80" spans="1:11" ht="12.75">
      <c r="A80" s="223" t="s">
        <v>139</v>
      </c>
      <c r="B80" s="224"/>
      <c r="C80" s="224"/>
      <c r="D80" s="224"/>
      <c r="E80" s="224"/>
      <c r="F80" s="224"/>
      <c r="G80" s="224"/>
      <c r="H80" s="225"/>
      <c r="I80" s="1">
        <v>73</v>
      </c>
      <c r="J80" s="7"/>
      <c r="K80" s="7"/>
    </row>
    <row r="81" spans="1:11" ht="12.75">
      <c r="A81" s="223" t="s">
        <v>140</v>
      </c>
      <c r="B81" s="224"/>
      <c r="C81" s="224"/>
      <c r="D81" s="224"/>
      <c r="E81" s="224"/>
      <c r="F81" s="224"/>
      <c r="G81" s="224"/>
      <c r="H81" s="225"/>
      <c r="I81" s="1">
        <v>74</v>
      </c>
      <c r="J81" s="7">
        <v>2857099</v>
      </c>
      <c r="K81" s="7">
        <v>10950014</v>
      </c>
    </row>
    <row r="82" spans="1:11" ht="12.75">
      <c r="A82" s="214" t="s">
        <v>204</v>
      </c>
      <c r="B82" s="215"/>
      <c r="C82" s="215"/>
      <c r="D82" s="215"/>
      <c r="E82" s="215"/>
      <c r="F82" s="215"/>
      <c r="G82" s="215"/>
      <c r="H82" s="216"/>
      <c r="I82" s="1">
        <v>75</v>
      </c>
      <c r="J82" s="50">
        <f>J83-J84</f>
        <v>-8092915</v>
      </c>
      <c r="K82" s="50">
        <f>K83-K84</f>
        <v>-3940917</v>
      </c>
    </row>
    <row r="83" spans="1:11" ht="12.75">
      <c r="A83" s="223" t="s">
        <v>141</v>
      </c>
      <c r="B83" s="224"/>
      <c r="C83" s="224"/>
      <c r="D83" s="224"/>
      <c r="E83" s="224"/>
      <c r="F83" s="224"/>
      <c r="G83" s="224"/>
      <c r="H83" s="225"/>
      <c r="I83" s="1">
        <v>76</v>
      </c>
      <c r="J83" s="7"/>
      <c r="K83" s="7"/>
    </row>
    <row r="84" spans="1:11" ht="12.75">
      <c r="A84" s="223" t="s">
        <v>142</v>
      </c>
      <c r="B84" s="224"/>
      <c r="C84" s="224"/>
      <c r="D84" s="224"/>
      <c r="E84" s="224"/>
      <c r="F84" s="224"/>
      <c r="G84" s="224"/>
      <c r="H84" s="225"/>
      <c r="I84" s="1">
        <v>77</v>
      </c>
      <c r="J84" s="7">
        <v>8092915</v>
      </c>
      <c r="K84" s="7">
        <v>3940917</v>
      </c>
    </row>
    <row r="85" spans="1:11" ht="12.75">
      <c r="A85" s="214" t="s">
        <v>143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1" t="s">
        <v>13</v>
      </c>
      <c r="B86" s="212"/>
      <c r="C86" s="212"/>
      <c r="D86" s="212"/>
      <c r="E86" s="212"/>
      <c r="F86" s="212"/>
      <c r="G86" s="212"/>
      <c r="H86" s="213"/>
      <c r="I86" s="1">
        <v>79</v>
      </c>
      <c r="J86" s="50">
        <f>SUM(J87:J89)</f>
        <v>1406091</v>
      </c>
      <c r="K86" s="50">
        <f>SUM(K87:K89)</f>
        <v>1406091</v>
      </c>
    </row>
    <row r="87" spans="1:11" ht="12.75">
      <c r="A87" s="214" t="s">
        <v>103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</row>
    <row r="88" spans="1:11" ht="12.75">
      <c r="A88" s="214" t="s">
        <v>104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105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1406091</v>
      </c>
      <c r="K89" s="7">
        <v>1406091</v>
      </c>
    </row>
    <row r="90" spans="1:11" ht="12.75">
      <c r="A90" s="211" t="s">
        <v>14</v>
      </c>
      <c r="B90" s="212"/>
      <c r="C90" s="212"/>
      <c r="D90" s="212"/>
      <c r="E90" s="212"/>
      <c r="F90" s="212"/>
      <c r="G90" s="212"/>
      <c r="H90" s="213"/>
      <c r="I90" s="1">
        <v>83</v>
      </c>
      <c r="J90" s="50">
        <f>SUM(J91:J99)</f>
        <v>45324482</v>
      </c>
      <c r="K90" s="50">
        <f>SUM(K91:K99)</f>
        <v>36497025</v>
      </c>
    </row>
    <row r="91" spans="1:11" ht="12.75">
      <c r="A91" s="214" t="s">
        <v>106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>
        <v>1942698</v>
      </c>
      <c r="K91" s="7">
        <v>848959</v>
      </c>
    </row>
    <row r="92" spans="1:11" ht="12.75">
      <c r="A92" s="214" t="s">
        <v>208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>
        <f>45324482-1942698-6866</f>
        <v>43374918</v>
      </c>
      <c r="K93" s="7">
        <f>36497025-848959</f>
        <v>35648066</v>
      </c>
    </row>
    <row r="94" spans="1:11" ht="12.75">
      <c r="A94" s="214" t="s">
        <v>209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210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211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/>
      <c r="K96" s="7"/>
    </row>
    <row r="97" spans="1:11" ht="12.75">
      <c r="A97" s="214" t="s">
        <v>70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68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>
        <v>6866</v>
      </c>
      <c r="K98" s="7"/>
    </row>
    <row r="99" spans="1:11" ht="12.75">
      <c r="A99" s="214" t="s">
        <v>69</v>
      </c>
      <c r="B99" s="215"/>
      <c r="C99" s="215"/>
      <c r="D99" s="215"/>
      <c r="E99" s="215"/>
      <c r="F99" s="215"/>
      <c r="G99" s="215"/>
      <c r="H99" s="216"/>
      <c r="I99" s="1">
        <v>92</v>
      </c>
      <c r="J99" s="7"/>
      <c r="K99" s="7"/>
    </row>
    <row r="100" spans="1:11" ht="12.75">
      <c r="A100" s="211" t="s">
        <v>15</v>
      </c>
      <c r="B100" s="212"/>
      <c r="C100" s="212"/>
      <c r="D100" s="212"/>
      <c r="E100" s="212"/>
      <c r="F100" s="212"/>
      <c r="G100" s="212"/>
      <c r="H100" s="213"/>
      <c r="I100" s="1">
        <v>93</v>
      </c>
      <c r="J100" s="50">
        <f>SUM(J101:J112)</f>
        <v>53559011</v>
      </c>
      <c r="K100" s="50">
        <f>SUM(K101:K112)</f>
        <v>56390821</v>
      </c>
    </row>
    <row r="101" spans="1:11" ht="12.75">
      <c r="A101" s="214" t="s">
        <v>106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7">
        <f>1110113+6752932+6944056+514591+3919332+9443412+3812208+94959</f>
        <v>32591603</v>
      </c>
      <c r="K101" s="7">
        <f>1131947+6885744+8212574+524712+4208581+10745777+5084993+96826</f>
        <v>36891154</v>
      </c>
    </row>
    <row r="102" spans="1:11" ht="12.75">
      <c r="A102" s="214" t="s">
        <v>208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/>
      <c r="K102" s="7"/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f>32193337+15025517-32591603</f>
        <v>14627251</v>
      </c>
      <c r="K103" s="7">
        <f>11062466-1131947+1940168+356071+184674+304592+22699</f>
        <v>12738723</v>
      </c>
    </row>
    <row r="104" spans="1:11" ht="12.75">
      <c r="A104" s="214" t="s">
        <v>209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606099</v>
      </c>
      <c r="K104" s="7">
        <v>552372</v>
      </c>
    </row>
    <row r="105" spans="1:11" ht="12.75">
      <c r="A105" s="214" t="s">
        <v>210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965196</v>
      </c>
      <c r="K105" s="7">
        <v>1230135</v>
      </c>
    </row>
    <row r="106" spans="1:11" ht="12.75">
      <c r="A106" s="214" t="s">
        <v>211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/>
      <c r="K106" s="7"/>
    </row>
    <row r="107" spans="1:11" ht="12.75">
      <c r="A107" s="214" t="s">
        <v>70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1" ht="12.75">
      <c r="A108" s="214" t="s">
        <v>71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f>609317+2093055</f>
        <v>2702372</v>
      </c>
      <c r="K108" s="7">
        <f>238106+2346138</f>
        <v>2584244</v>
      </c>
    </row>
    <row r="109" spans="1:11" ht="12.75">
      <c r="A109" s="214" t="s">
        <v>72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f>1955+568524+8983+669535+571615+14538+221040</f>
        <v>2056190</v>
      </c>
      <c r="K109" s="7">
        <f>10090+644700+8729+758926+649932+18619+68458+224553</f>
        <v>2384007</v>
      </c>
    </row>
    <row r="110" spans="1:11" ht="12.75">
      <c r="A110" s="214" t="s">
        <v>75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/>
      <c r="K110" s="7"/>
    </row>
    <row r="111" spans="1:11" ht="12.75">
      <c r="A111" s="214" t="s">
        <v>73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1" ht="12.75">
      <c r="A112" s="214" t="s">
        <v>74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f>10000+300</f>
        <v>10300</v>
      </c>
      <c r="K112" s="7">
        <f>9886+300</f>
        <v>10186</v>
      </c>
    </row>
    <row r="113" spans="1:11" ht="12.75">
      <c r="A113" s="211" t="s">
        <v>1</v>
      </c>
      <c r="B113" s="212"/>
      <c r="C113" s="212"/>
      <c r="D113" s="212"/>
      <c r="E113" s="212"/>
      <c r="F113" s="212"/>
      <c r="G113" s="212"/>
      <c r="H113" s="213"/>
      <c r="I113" s="1">
        <v>106</v>
      </c>
      <c r="J113" s="7">
        <v>177666</v>
      </c>
      <c r="K113" s="7">
        <v>248358</v>
      </c>
    </row>
    <row r="114" spans="1:11" ht="12.75">
      <c r="A114" s="211" t="s">
        <v>19</v>
      </c>
      <c r="B114" s="212"/>
      <c r="C114" s="212"/>
      <c r="D114" s="212"/>
      <c r="E114" s="212"/>
      <c r="F114" s="212"/>
      <c r="G114" s="212"/>
      <c r="H114" s="213"/>
      <c r="I114" s="1">
        <v>107</v>
      </c>
      <c r="J114" s="50">
        <f>J69+J86+J90+J100+J113</f>
        <v>229634583</v>
      </c>
      <c r="K114" s="50">
        <f>K69+K86+K90+K100+K113</f>
        <v>219768711</v>
      </c>
    </row>
    <row r="115" spans="1:11" ht="12.75">
      <c r="A115" s="233" t="s">
        <v>37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108026196</v>
      </c>
      <c r="K115" s="8">
        <v>108026196</v>
      </c>
    </row>
    <row r="116" spans="1:11" ht="12.75">
      <c r="A116" s="220" t="s">
        <v>274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8" t="s">
        <v>151</v>
      </c>
      <c r="B117" s="209"/>
      <c r="C117" s="209"/>
      <c r="D117" s="209"/>
      <c r="E117" s="209"/>
      <c r="F117" s="209"/>
      <c r="G117" s="209"/>
      <c r="H117" s="209"/>
      <c r="I117" s="239"/>
      <c r="J117" s="239"/>
      <c r="K117" s="240"/>
    </row>
    <row r="118" spans="1:11" ht="12.75">
      <c r="A118" s="214" t="s">
        <v>5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</row>
    <row r="119" spans="1:11" ht="12.75">
      <c r="A119" s="226" t="s">
        <v>6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275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3">
    <dataValidation allowBlank="1" sqref="A1:I65536 L1:IV65536 J1:K10 J12:K16 J26:K28 J30:K41 J48:K50 J56:K61 J66:K66 J68:K69 J71:K72 J79:K80 J82:K83 J85:K88 J90:K90 J100:K100 J114:K114 J116:K65536"/>
    <dataValidation type="whole" operator="greaterThanOrEqual" allowBlank="1" showInputMessage="1" showErrorMessage="1" errorTitle="Pogrešan unos" error="Mogu se unijeti samo cjelobrojne pozitivne vrijednosti." sqref="K11 K17:K25 J17:J20 J23:J25 J29:K29 K42:K47 J43:J44 J47 K51:K55 J52 J54:J55 K62:K65 J63:J64 J67:K67 K70 J74:J76 K73:K77 K81 K84 K89 K91:K99 J91:J97 J99 K101:K113 J101:J103 J106:J112 J115:K115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9">
      <selection activeCell="L4" sqref="L4:M4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50" t="s">
        <v>304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3" t="s">
        <v>307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</row>
    <row r="4" spans="1:13" ht="23.25">
      <c r="A4" s="242" t="s">
        <v>39</v>
      </c>
      <c r="B4" s="242"/>
      <c r="C4" s="242"/>
      <c r="D4" s="242"/>
      <c r="E4" s="242"/>
      <c r="F4" s="242"/>
      <c r="G4" s="242"/>
      <c r="H4" s="242"/>
      <c r="I4" s="55" t="s">
        <v>244</v>
      </c>
      <c r="J4" s="241" t="s">
        <v>305</v>
      </c>
      <c r="K4" s="241"/>
      <c r="L4" s="241" t="s">
        <v>308</v>
      </c>
      <c r="M4" s="241"/>
    </row>
    <row r="5" spans="1:13" ht="18" customHeight="1">
      <c r="A5" s="242"/>
      <c r="B5" s="242"/>
      <c r="C5" s="242"/>
      <c r="D5" s="242"/>
      <c r="E5" s="242"/>
      <c r="F5" s="242"/>
      <c r="G5" s="242"/>
      <c r="H5" s="242"/>
      <c r="I5" s="55"/>
      <c r="J5" s="57" t="s">
        <v>278</v>
      </c>
      <c r="K5" s="57" t="s">
        <v>279</v>
      </c>
      <c r="L5" s="57" t="s">
        <v>278</v>
      </c>
      <c r="M5" s="57" t="s">
        <v>279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08" t="s">
        <v>20</v>
      </c>
      <c r="B7" s="209"/>
      <c r="C7" s="209"/>
      <c r="D7" s="209"/>
      <c r="E7" s="209"/>
      <c r="F7" s="209"/>
      <c r="G7" s="209"/>
      <c r="H7" s="210"/>
      <c r="I7" s="3">
        <v>111</v>
      </c>
      <c r="J7" s="51">
        <f>SUM(J8:J9)</f>
        <v>44139333</v>
      </c>
      <c r="K7" s="51">
        <f>SUM(K8:K9)</f>
        <v>3840167</v>
      </c>
      <c r="L7" s="51">
        <f>SUM(L8:L9)</f>
        <v>45892302</v>
      </c>
      <c r="M7" s="51">
        <f>SUM(M8:M9)</f>
        <v>3763936</v>
      </c>
    </row>
    <row r="8" spans="1:13" ht="12.75">
      <c r="A8" s="211" t="s">
        <v>126</v>
      </c>
      <c r="B8" s="212"/>
      <c r="C8" s="212"/>
      <c r="D8" s="212"/>
      <c r="E8" s="212"/>
      <c r="F8" s="212"/>
      <c r="G8" s="212"/>
      <c r="H8" s="213"/>
      <c r="I8" s="1">
        <v>112</v>
      </c>
      <c r="J8" s="7">
        <f>7277581+35913597+44855</f>
        <v>43236033</v>
      </c>
      <c r="K8" s="123">
        <f>43236033-39607397</f>
        <v>3628636</v>
      </c>
      <c r="L8" s="7">
        <f>7383974+37573456</f>
        <v>44957430</v>
      </c>
      <c r="M8" s="7">
        <f>44957430-41313672</f>
        <v>3643758</v>
      </c>
    </row>
    <row r="9" spans="1:13" ht="12.75">
      <c r="A9" s="211" t="s">
        <v>79</v>
      </c>
      <c r="B9" s="212"/>
      <c r="C9" s="212"/>
      <c r="D9" s="212"/>
      <c r="E9" s="212"/>
      <c r="F9" s="212"/>
      <c r="G9" s="212"/>
      <c r="H9" s="213"/>
      <c r="I9" s="1">
        <v>113</v>
      </c>
      <c r="J9" s="7">
        <v>903300</v>
      </c>
      <c r="K9" s="7">
        <f>903300-23007-668762</f>
        <v>211531</v>
      </c>
      <c r="L9" s="7">
        <f>65237+468633+237698+163304</f>
        <v>934872</v>
      </c>
      <c r="M9" s="7">
        <f>934872-814694</f>
        <v>120178</v>
      </c>
    </row>
    <row r="10" spans="1:13" ht="12.75">
      <c r="A10" s="211" t="s">
        <v>9</v>
      </c>
      <c r="B10" s="212"/>
      <c r="C10" s="212"/>
      <c r="D10" s="212"/>
      <c r="E10" s="212"/>
      <c r="F10" s="212"/>
      <c r="G10" s="212"/>
      <c r="H10" s="213"/>
      <c r="I10" s="1">
        <v>114</v>
      </c>
      <c r="J10" s="50">
        <f>J11+J12+J16+J20+J21+J22+J25+J26</f>
        <v>47116371</v>
      </c>
      <c r="K10" s="50">
        <f>K11+K12+K16+K20+K21+K22+K25+K26</f>
        <v>10781892</v>
      </c>
      <c r="L10" s="50">
        <f>L11+L12+L16+L20+L21+L22+L25+L26</f>
        <v>44351413</v>
      </c>
      <c r="M10" s="50">
        <f>M11+M12+M16+M20+M21+M22+M25+M26</f>
        <v>10187968</v>
      </c>
    </row>
    <row r="11" spans="1:13" ht="12.75">
      <c r="A11" s="211" t="s">
        <v>80</v>
      </c>
      <c r="B11" s="212"/>
      <c r="C11" s="212"/>
      <c r="D11" s="212"/>
      <c r="E11" s="212"/>
      <c r="F11" s="212"/>
      <c r="G11" s="212"/>
      <c r="H11" s="213"/>
      <c r="I11" s="1">
        <v>115</v>
      </c>
      <c r="J11" s="7"/>
      <c r="K11" s="7"/>
      <c r="L11" s="7"/>
      <c r="M11" s="7"/>
    </row>
    <row r="12" spans="1:13" ht="12.75">
      <c r="A12" s="211" t="s">
        <v>16</v>
      </c>
      <c r="B12" s="212"/>
      <c r="C12" s="212"/>
      <c r="D12" s="212"/>
      <c r="E12" s="212"/>
      <c r="F12" s="212"/>
      <c r="G12" s="212"/>
      <c r="H12" s="213"/>
      <c r="I12" s="1">
        <v>116</v>
      </c>
      <c r="J12" s="50">
        <f>SUM(J13:J15)</f>
        <v>15500513</v>
      </c>
      <c r="K12" s="50">
        <f>SUM(K13:K15)</f>
        <v>2939225</v>
      </c>
      <c r="L12" s="50">
        <f>SUM(L13:L15)</f>
        <v>14212400</v>
      </c>
      <c r="M12" s="50">
        <f>SUM(M13:M15)</f>
        <v>2407167</v>
      </c>
    </row>
    <row r="13" spans="1:13" ht="12.75">
      <c r="A13" s="214" t="s">
        <v>120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6474448</v>
      </c>
      <c r="K13" s="7">
        <f>6474448-5621059</f>
        <v>853389</v>
      </c>
      <c r="L13" s="7">
        <v>6542153</v>
      </c>
      <c r="M13" s="7">
        <f>6542153-5616057</f>
        <v>926096</v>
      </c>
    </row>
    <row r="14" spans="1:13" ht="12.75">
      <c r="A14" s="214" t="s">
        <v>121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>
        <v>162052</v>
      </c>
      <c r="K14" s="7">
        <f>162052-159914</f>
        <v>2138</v>
      </c>
      <c r="L14" s="7">
        <v>188737</v>
      </c>
      <c r="M14" s="7">
        <f>188737-181177</f>
        <v>7560</v>
      </c>
    </row>
    <row r="15" spans="1:13" ht="12.75">
      <c r="A15" s="214" t="s">
        <v>41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>
        <f>3813588+5050425</f>
        <v>8864013</v>
      </c>
      <c r="K15" s="7">
        <f>8864013-6780315</f>
        <v>2083698</v>
      </c>
      <c r="L15" s="7">
        <f>2866658+4614852</f>
        <v>7481510</v>
      </c>
      <c r="M15" s="7">
        <f>7481510-6007999</f>
        <v>1473511</v>
      </c>
    </row>
    <row r="16" spans="1:13" ht="12.75">
      <c r="A16" s="211" t="s">
        <v>17</v>
      </c>
      <c r="B16" s="212"/>
      <c r="C16" s="212"/>
      <c r="D16" s="212"/>
      <c r="E16" s="212"/>
      <c r="F16" s="212"/>
      <c r="G16" s="212"/>
      <c r="H16" s="213"/>
      <c r="I16" s="1">
        <v>120</v>
      </c>
      <c r="J16" s="50">
        <f>SUM(J17:J19)</f>
        <v>23801921</v>
      </c>
      <c r="K16" s="50">
        <f>SUM(K17:K19)</f>
        <v>5599922</v>
      </c>
      <c r="L16" s="50">
        <f>SUM(L17:L19)</f>
        <v>22939774</v>
      </c>
      <c r="M16" s="50">
        <f>SUM(M17:M19)</f>
        <v>5549776</v>
      </c>
    </row>
    <row r="17" spans="1:13" ht="12.75">
      <c r="A17" s="214" t="s">
        <v>42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f>23801921-6482315-3514775</f>
        <v>13804831</v>
      </c>
      <c r="K17" s="7">
        <f>13804831-10499493</f>
        <v>3305338</v>
      </c>
      <c r="L17" s="7">
        <v>13475343</v>
      </c>
      <c r="M17" s="7">
        <f>13475343-10164414</f>
        <v>3310929</v>
      </c>
    </row>
    <row r="18" spans="1:13" ht="12.75">
      <c r="A18" s="214" t="s">
        <v>43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f>4062893+2151265+268157</f>
        <v>6482315</v>
      </c>
      <c r="K18" s="7">
        <f>6482315-5018019</f>
        <v>1464296</v>
      </c>
      <c r="L18" s="7">
        <v>6088342</v>
      </c>
      <c r="M18" s="7">
        <f>6088342-4666657</f>
        <v>1421685</v>
      </c>
    </row>
    <row r="19" spans="1:13" ht="12.75">
      <c r="A19" s="214" t="s">
        <v>44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3514775</v>
      </c>
      <c r="K19" s="7">
        <f>3514775-2684487</f>
        <v>830288</v>
      </c>
      <c r="L19" s="7">
        <v>3376089</v>
      </c>
      <c r="M19" s="7">
        <f>3376089-2558927</f>
        <v>817162</v>
      </c>
    </row>
    <row r="20" spans="1:13" ht="12.75">
      <c r="A20" s="211" t="s">
        <v>81</v>
      </c>
      <c r="B20" s="212"/>
      <c r="C20" s="212"/>
      <c r="D20" s="212"/>
      <c r="E20" s="212"/>
      <c r="F20" s="212"/>
      <c r="G20" s="212"/>
      <c r="H20" s="213"/>
      <c r="I20" s="1">
        <v>124</v>
      </c>
      <c r="J20" s="7">
        <v>4969047</v>
      </c>
      <c r="K20" s="7">
        <f>4969047-3716333</f>
        <v>1252714</v>
      </c>
      <c r="L20" s="7">
        <v>4574020</v>
      </c>
      <c r="M20" s="7">
        <f>4574020-3467907</f>
        <v>1106113</v>
      </c>
    </row>
    <row r="21" spans="1:13" ht="12.75">
      <c r="A21" s="211" t="s">
        <v>82</v>
      </c>
      <c r="B21" s="212"/>
      <c r="C21" s="212"/>
      <c r="D21" s="212"/>
      <c r="E21" s="212"/>
      <c r="F21" s="212"/>
      <c r="G21" s="212"/>
      <c r="H21" s="213"/>
      <c r="I21" s="1">
        <v>125</v>
      </c>
      <c r="J21" s="7">
        <f>1293336+623555</f>
        <v>1916891</v>
      </c>
      <c r="K21" s="7">
        <f>1916891-1647779</f>
        <v>269112</v>
      </c>
      <c r="L21" s="7">
        <f>1269987+448972</f>
        <v>1718959</v>
      </c>
      <c r="M21" s="7">
        <f>1718959-1170893</f>
        <v>548066</v>
      </c>
    </row>
    <row r="22" spans="1:13" ht="12.75">
      <c r="A22" s="211" t="s">
        <v>18</v>
      </c>
      <c r="B22" s="212"/>
      <c r="C22" s="212"/>
      <c r="D22" s="212"/>
      <c r="E22" s="212"/>
      <c r="F22" s="212"/>
      <c r="G22" s="212"/>
      <c r="H22" s="213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14" t="s">
        <v>111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112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1" t="s">
        <v>83</v>
      </c>
      <c r="B25" s="212"/>
      <c r="C25" s="212"/>
      <c r="D25" s="212"/>
      <c r="E25" s="212"/>
      <c r="F25" s="212"/>
      <c r="G25" s="212"/>
      <c r="H25" s="213"/>
      <c r="I25" s="1">
        <v>129</v>
      </c>
      <c r="J25" s="7">
        <v>616200</v>
      </c>
      <c r="K25" s="7">
        <f>616200-60000</f>
        <v>556200</v>
      </c>
      <c r="L25" s="7">
        <v>225000</v>
      </c>
      <c r="M25" s="7">
        <v>225000</v>
      </c>
    </row>
    <row r="26" spans="1:13" ht="12.75">
      <c r="A26" s="211" t="s">
        <v>35</v>
      </c>
      <c r="B26" s="212"/>
      <c r="C26" s="212"/>
      <c r="D26" s="212"/>
      <c r="E26" s="212"/>
      <c r="F26" s="212"/>
      <c r="G26" s="212"/>
      <c r="H26" s="213"/>
      <c r="I26" s="1">
        <v>130</v>
      </c>
      <c r="J26" s="7">
        <f>230827+80972</f>
        <v>311799</v>
      </c>
      <c r="K26" s="7">
        <f>311799-147080</f>
        <v>164719</v>
      </c>
      <c r="L26" s="7">
        <f>359801+321459</f>
        <v>681260</v>
      </c>
      <c r="M26" s="7">
        <f>681260-329414</f>
        <v>351846</v>
      </c>
    </row>
    <row r="27" spans="1:13" ht="12.75">
      <c r="A27" s="211" t="s">
        <v>178</v>
      </c>
      <c r="B27" s="212"/>
      <c r="C27" s="212"/>
      <c r="D27" s="212"/>
      <c r="E27" s="212"/>
      <c r="F27" s="212"/>
      <c r="G27" s="212"/>
      <c r="H27" s="213"/>
      <c r="I27" s="1">
        <v>131</v>
      </c>
      <c r="J27" s="50">
        <f>SUM(J28:J32)</f>
        <v>361943</v>
      </c>
      <c r="K27" s="50">
        <f>SUM(K28:K32)</f>
        <v>86737</v>
      </c>
      <c r="L27" s="50">
        <f>SUM(L28:L32)</f>
        <v>521392</v>
      </c>
      <c r="M27" s="50">
        <f>SUM(M28:M32)</f>
        <v>327103</v>
      </c>
    </row>
    <row r="28" spans="1:13" ht="12.75">
      <c r="A28" s="211" t="s">
        <v>192</v>
      </c>
      <c r="B28" s="212"/>
      <c r="C28" s="212"/>
      <c r="D28" s="212"/>
      <c r="E28" s="212"/>
      <c r="F28" s="212"/>
      <c r="G28" s="212"/>
      <c r="H28" s="213"/>
      <c r="I28" s="1">
        <v>132</v>
      </c>
      <c r="J28" s="7"/>
      <c r="K28" s="7"/>
      <c r="L28" s="7"/>
      <c r="M28" s="7"/>
    </row>
    <row r="29" spans="1:13" ht="12.75">
      <c r="A29" s="211" t="s">
        <v>129</v>
      </c>
      <c r="B29" s="212"/>
      <c r="C29" s="212"/>
      <c r="D29" s="212"/>
      <c r="E29" s="212"/>
      <c r="F29" s="212"/>
      <c r="G29" s="212"/>
      <c r="H29" s="213"/>
      <c r="I29" s="1">
        <v>133</v>
      </c>
      <c r="J29" s="7">
        <v>351470</v>
      </c>
      <c r="K29" s="7">
        <f>351470-275206</f>
        <v>76264</v>
      </c>
      <c r="L29" s="7">
        <f>521392-10872</f>
        <v>510520</v>
      </c>
      <c r="M29" s="7">
        <f>510520-194289</f>
        <v>316231</v>
      </c>
    </row>
    <row r="30" spans="1:13" ht="12.75">
      <c r="A30" s="211" t="s">
        <v>113</v>
      </c>
      <c r="B30" s="212"/>
      <c r="C30" s="212"/>
      <c r="D30" s="212"/>
      <c r="E30" s="212"/>
      <c r="F30" s="212"/>
      <c r="G30" s="212"/>
      <c r="H30" s="213"/>
      <c r="I30" s="1">
        <v>134</v>
      </c>
      <c r="J30" s="7"/>
      <c r="K30" s="7"/>
      <c r="L30" s="7"/>
      <c r="M30" s="7"/>
    </row>
    <row r="31" spans="1:13" ht="12.75">
      <c r="A31" s="211" t="s">
        <v>188</v>
      </c>
      <c r="B31" s="212"/>
      <c r="C31" s="212"/>
      <c r="D31" s="212"/>
      <c r="E31" s="212"/>
      <c r="F31" s="212"/>
      <c r="G31" s="212"/>
      <c r="H31" s="213"/>
      <c r="I31" s="1">
        <v>135</v>
      </c>
      <c r="J31" s="7">
        <v>10473</v>
      </c>
      <c r="K31" s="7">
        <v>10473</v>
      </c>
      <c r="L31" s="7">
        <v>10872</v>
      </c>
      <c r="M31" s="7">
        <v>10872</v>
      </c>
    </row>
    <row r="32" spans="1:13" ht="12.75">
      <c r="A32" s="211" t="s">
        <v>114</v>
      </c>
      <c r="B32" s="212"/>
      <c r="C32" s="212"/>
      <c r="D32" s="212"/>
      <c r="E32" s="212"/>
      <c r="F32" s="212"/>
      <c r="G32" s="212"/>
      <c r="H32" s="213"/>
      <c r="I32" s="1">
        <v>136</v>
      </c>
      <c r="J32" s="7"/>
      <c r="K32" s="7"/>
      <c r="L32" s="7"/>
      <c r="M32" s="7"/>
    </row>
    <row r="33" spans="1:13" ht="12.75">
      <c r="A33" s="211" t="s">
        <v>179</v>
      </c>
      <c r="B33" s="212"/>
      <c r="C33" s="212"/>
      <c r="D33" s="212"/>
      <c r="E33" s="212"/>
      <c r="F33" s="212"/>
      <c r="G33" s="212"/>
      <c r="H33" s="213"/>
      <c r="I33" s="1">
        <v>137</v>
      </c>
      <c r="J33" s="50">
        <f>SUM(J34:J37)</f>
        <v>5477820</v>
      </c>
      <c r="K33" s="50">
        <f>SUM(K34:K37)</f>
        <v>1714916</v>
      </c>
      <c r="L33" s="50">
        <f>SUM(L34:L37)</f>
        <v>6003198</v>
      </c>
      <c r="M33" s="50">
        <f>SUM(M34:M37)</f>
        <v>1483516</v>
      </c>
    </row>
    <row r="34" spans="1:13" ht="12.75">
      <c r="A34" s="211" t="s">
        <v>46</v>
      </c>
      <c r="B34" s="212"/>
      <c r="C34" s="212"/>
      <c r="D34" s="212"/>
      <c r="E34" s="212"/>
      <c r="F34" s="212"/>
      <c r="G34" s="212"/>
      <c r="H34" s="213"/>
      <c r="I34" s="1">
        <v>138</v>
      </c>
      <c r="J34" s="7">
        <v>2524050</v>
      </c>
      <c r="K34" s="7">
        <f>2524050-1717656</f>
        <v>806394</v>
      </c>
      <c r="L34" s="7">
        <v>3038438</v>
      </c>
      <c r="M34" s="7">
        <f>3038438-2170371</f>
        <v>868067</v>
      </c>
    </row>
    <row r="35" spans="1:13" ht="12.75">
      <c r="A35" s="211" t="s">
        <v>45</v>
      </c>
      <c r="B35" s="212"/>
      <c r="C35" s="212"/>
      <c r="D35" s="212"/>
      <c r="E35" s="212"/>
      <c r="F35" s="212"/>
      <c r="G35" s="212"/>
      <c r="H35" s="213"/>
      <c r="I35" s="1">
        <v>139</v>
      </c>
      <c r="J35" s="7">
        <f>2687074+887-276</f>
        <v>2687685</v>
      </c>
      <c r="K35" s="7">
        <f>2687685-1854681</f>
        <v>833004</v>
      </c>
      <c r="L35" s="7">
        <f>6003199-3165731</f>
        <v>2837468</v>
      </c>
      <c r="M35" s="7">
        <f>2837468-2288681</f>
        <v>548787</v>
      </c>
    </row>
    <row r="36" spans="1:13" ht="12.75">
      <c r="A36" s="211" t="s">
        <v>189</v>
      </c>
      <c r="B36" s="212"/>
      <c r="C36" s="212"/>
      <c r="D36" s="212"/>
      <c r="E36" s="212"/>
      <c r="F36" s="212"/>
      <c r="G36" s="212"/>
      <c r="H36" s="213"/>
      <c r="I36" s="1">
        <v>140</v>
      </c>
      <c r="J36" s="7"/>
      <c r="K36" s="7"/>
      <c r="L36" s="7"/>
      <c r="M36" s="7"/>
    </row>
    <row r="37" spans="1:13" ht="12.75">
      <c r="A37" s="211" t="s">
        <v>47</v>
      </c>
      <c r="B37" s="212"/>
      <c r="C37" s="212"/>
      <c r="D37" s="212"/>
      <c r="E37" s="212"/>
      <c r="F37" s="212"/>
      <c r="G37" s="212"/>
      <c r="H37" s="213"/>
      <c r="I37" s="1">
        <v>141</v>
      </c>
      <c r="J37" s="7">
        <v>266085</v>
      </c>
      <c r="K37" s="7">
        <f>266085-190567</f>
        <v>75518</v>
      </c>
      <c r="L37" s="7">
        <v>127292</v>
      </c>
      <c r="M37" s="7">
        <f>127292-60630</f>
        <v>66662</v>
      </c>
    </row>
    <row r="38" spans="1:13" ht="12.75">
      <c r="A38" s="211" t="s">
        <v>160</v>
      </c>
      <c r="B38" s="212"/>
      <c r="C38" s="212"/>
      <c r="D38" s="212"/>
      <c r="E38" s="212"/>
      <c r="F38" s="212"/>
      <c r="G38" s="212"/>
      <c r="H38" s="213"/>
      <c r="I38" s="1">
        <v>142</v>
      </c>
      <c r="J38" s="7"/>
      <c r="K38" s="7"/>
      <c r="L38" s="7"/>
      <c r="M38" s="7"/>
    </row>
    <row r="39" spans="1:13" ht="12.75">
      <c r="A39" s="211" t="s">
        <v>161</v>
      </c>
      <c r="B39" s="212"/>
      <c r="C39" s="212"/>
      <c r="D39" s="212"/>
      <c r="E39" s="212"/>
      <c r="F39" s="212"/>
      <c r="G39" s="212"/>
      <c r="H39" s="213"/>
      <c r="I39" s="1">
        <v>143</v>
      </c>
      <c r="J39" s="7"/>
      <c r="K39" s="7"/>
      <c r="L39" s="7"/>
      <c r="M39" s="7"/>
    </row>
    <row r="40" spans="1:13" ht="12.75">
      <c r="A40" s="211" t="s">
        <v>190</v>
      </c>
      <c r="B40" s="212"/>
      <c r="C40" s="212"/>
      <c r="D40" s="212"/>
      <c r="E40" s="212"/>
      <c r="F40" s="212"/>
      <c r="G40" s="212"/>
      <c r="H40" s="213"/>
      <c r="I40" s="1">
        <v>144</v>
      </c>
      <c r="J40" s="7"/>
      <c r="K40" s="7"/>
      <c r="L40" s="7"/>
      <c r="M40" s="7"/>
    </row>
    <row r="41" spans="1:13" ht="12.75">
      <c r="A41" s="211" t="s">
        <v>191</v>
      </c>
      <c r="B41" s="212"/>
      <c r="C41" s="212"/>
      <c r="D41" s="212"/>
      <c r="E41" s="212"/>
      <c r="F41" s="212"/>
      <c r="G41" s="212"/>
      <c r="H41" s="213"/>
      <c r="I41" s="1">
        <v>145</v>
      </c>
      <c r="J41" s="7"/>
      <c r="K41" s="7"/>
      <c r="L41" s="7"/>
      <c r="M41" s="7"/>
    </row>
    <row r="42" spans="1:13" ht="12.75">
      <c r="A42" s="211" t="s">
        <v>180</v>
      </c>
      <c r="B42" s="212"/>
      <c r="C42" s="212"/>
      <c r="D42" s="212"/>
      <c r="E42" s="212"/>
      <c r="F42" s="212"/>
      <c r="G42" s="212"/>
      <c r="H42" s="213"/>
      <c r="I42" s="1">
        <v>146</v>
      </c>
      <c r="J42" s="50">
        <f>J7+J27+J38+J40</f>
        <v>44501276</v>
      </c>
      <c r="K42" s="50">
        <f>K7+K27+K38+K40</f>
        <v>3926904</v>
      </c>
      <c r="L42" s="50">
        <f>L7+L27+L38+L40</f>
        <v>46413694</v>
      </c>
      <c r="M42" s="50">
        <f>M7+M27+M38+M40</f>
        <v>4091039</v>
      </c>
    </row>
    <row r="43" spans="1:13" ht="12.75">
      <c r="A43" s="211" t="s">
        <v>181</v>
      </c>
      <c r="B43" s="212"/>
      <c r="C43" s="212"/>
      <c r="D43" s="212"/>
      <c r="E43" s="212"/>
      <c r="F43" s="212"/>
      <c r="G43" s="212"/>
      <c r="H43" s="213"/>
      <c r="I43" s="1">
        <v>147</v>
      </c>
      <c r="J43" s="50">
        <f>J10+J33+J39+J41</f>
        <v>52594191</v>
      </c>
      <c r="K43" s="50">
        <f>K10+K33+K39+K41</f>
        <v>12496808</v>
      </c>
      <c r="L43" s="50">
        <f>L10+L33+L39+L41</f>
        <v>50354611</v>
      </c>
      <c r="M43" s="50">
        <f>M10+M33+M39+M41</f>
        <v>11671484</v>
      </c>
    </row>
    <row r="44" spans="1:13" ht="12.75">
      <c r="A44" s="211" t="s">
        <v>201</v>
      </c>
      <c r="B44" s="212"/>
      <c r="C44" s="212"/>
      <c r="D44" s="212"/>
      <c r="E44" s="212"/>
      <c r="F44" s="212"/>
      <c r="G44" s="212"/>
      <c r="H44" s="213"/>
      <c r="I44" s="1">
        <v>148</v>
      </c>
      <c r="J44" s="50">
        <f>J42-J43</f>
        <v>-8092915</v>
      </c>
      <c r="K44" s="50">
        <f>K42-K43</f>
        <v>-8569904</v>
      </c>
      <c r="L44" s="50">
        <f>L42-L43</f>
        <v>-3940917</v>
      </c>
      <c r="M44" s="50">
        <f>M42-M43</f>
        <v>-7580445</v>
      </c>
    </row>
    <row r="45" spans="1:13" ht="12.75">
      <c r="A45" s="223" t="s">
        <v>183</v>
      </c>
      <c r="B45" s="224"/>
      <c r="C45" s="224"/>
      <c r="D45" s="224"/>
      <c r="E45" s="224"/>
      <c r="F45" s="224"/>
      <c r="G45" s="224"/>
      <c r="H45" s="22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23" t="s">
        <v>184</v>
      </c>
      <c r="B46" s="224"/>
      <c r="C46" s="224"/>
      <c r="D46" s="224"/>
      <c r="E46" s="224"/>
      <c r="F46" s="224"/>
      <c r="G46" s="224"/>
      <c r="H46" s="225"/>
      <c r="I46" s="1">
        <v>150</v>
      </c>
      <c r="J46" s="50">
        <f>IF(J43&gt;J42,J43-J42,0)</f>
        <v>8092915</v>
      </c>
      <c r="K46" s="50">
        <f>IF(K43&gt;K42,K43-K42,0)</f>
        <v>8569904</v>
      </c>
      <c r="L46" s="50">
        <f>IF(L43&gt;L42,L43-L42,0)</f>
        <v>3940917</v>
      </c>
      <c r="M46" s="50">
        <f>IF(M43&gt;M42,M43-M42,0)</f>
        <v>7580445</v>
      </c>
    </row>
    <row r="47" spans="1:13" ht="12.75">
      <c r="A47" s="211" t="s">
        <v>182</v>
      </c>
      <c r="B47" s="212"/>
      <c r="C47" s="212"/>
      <c r="D47" s="212"/>
      <c r="E47" s="212"/>
      <c r="F47" s="212"/>
      <c r="G47" s="212"/>
      <c r="H47" s="213"/>
      <c r="I47" s="1">
        <v>151</v>
      </c>
      <c r="J47" s="7"/>
      <c r="K47" s="7"/>
      <c r="L47" s="7"/>
      <c r="M47" s="7"/>
    </row>
    <row r="48" spans="1:13" ht="12.75">
      <c r="A48" s="211" t="s">
        <v>202</v>
      </c>
      <c r="B48" s="212"/>
      <c r="C48" s="212"/>
      <c r="D48" s="212"/>
      <c r="E48" s="212"/>
      <c r="F48" s="212"/>
      <c r="G48" s="212"/>
      <c r="H48" s="213"/>
      <c r="I48" s="1">
        <v>152</v>
      </c>
      <c r="J48" s="50">
        <f>J44-J47</f>
        <v>-8092915</v>
      </c>
      <c r="K48" s="50">
        <f>K44-K47</f>
        <v>-8569904</v>
      </c>
      <c r="L48" s="50">
        <f>L44-L47</f>
        <v>-3940917</v>
      </c>
      <c r="M48" s="50">
        <f>M44-M47</f>
        <v>-7580445</v>
      </c>
    </row>
    <row r="49" spans="1:13" ht="12.75">
      <c r="A49" s="223" t="s">
        <v>157</v>
      </c>
      <c r="B49" s="224"/>
      <c r="C49" s="224"/>
      <c r="D49" s="224"/>
      <c r="E49" s="224"/>
      <c r="F49" s="224"/>
      <c r="G49" s="224"/>
      <c r="H49" s="22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44" t="s">
        <v>185</v>
      </c>
      <c r="B50" s="245"/>
      <c r="C50" s="245"/>
      <c r="D50" s="245"/>
      <c r="E50" s="245"/>
      <c r="F50" s="245"/>
      <c r="G50" s="245"/>
      <c r="H50" s="246"/>
      <c r="I50" s="2">
        <v>154</v>
      </c>
      <c r="J50" s="58">
        <f>IF(J48&lt;0,-J48,0)</f>
        <v>8092915</v>
      </c>
      <c r="K50" s="58">
        <f>IF(K48&lt;0,-K48,0)</f>
        <v>8569904</v>
      </c>
      <c r="L50" s="58">
        <f>IF(L48&lt;0,-L48,0)</f>
        <v>3940917</v>
      </c>
      <c r="M50" s="58">
        <f>IF(M48&lt;0,-M48,0)</f>
        <v>7580445</v>
      </c>
    </row>
    <row r="51" spans="1:13" ht="12.75" customHeight="1">
      <c r="A51" s="220" t="s">
        <v>276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8" t="s">
        <v>152</v>
      </c>
      <c r="B52" s="209"/>
      <c r="C52" s="209"/>
      <c r="D52" s="209"/>
      <c r="E52" s="209"/>
      <c r="F52" s="209"/>
      <c r="G52" s="209"/>
      <c r="H52" s="209"/>
      <c r="I52" s="52"/>
      <c r="J52" s="52"/>
      <c r="K52" s="52"/>
      <c r="L52" s="52"/>
      <c r="M52" s="59"/>
    </row>
    <row r="53" spans="1:13" ht="12.75">
      <c r="A53" s="247" t="s">
        <v>199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200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220" t="s">
        <v>154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8" t="s">
        <v>169</v>
      </c>
      <c r="B56" s="209"/>
      <c r="C56" s="209"/>
      <c r="D56" s="209"/>
      <c r="E56" s="209"/>
      <c r="F56" s="209"/>
      <c r="G56" s="209"/>
      <c r="H56" s="210"/>
      <c r="I56" s="9">
        <v>157</v>
      </c>
      <c r="J56" s="6">
        <v>-8092915</v>
      </c>
      <c r="K56" s="6">
        <v>-8569904</v>
      </c>
      <c r="L56" s="6">
        <v>-3940917</v>
      </c>
      <c r="M56" s="6">
        <v>-7580445</v>
      </c>
    </row>
    <row r="57" spans="1:13" ht="12.75">
      <c r="A57" s="211" t="s">
        <v>186</v>
      </c>
      <c r="B57" s="212"/>
      <c r="C57" s="212"/>
      <c r="D57" s="212"/>
      <c r="E57" s="212"/>
      <c r="F57" s="212"/>
      <c r="G57" s="212"/>
      <c r="H57" s="213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211" t="s">
        <v>193</v>
      </c>
      <c r="B58" s="212"/>
      <c r="C58" s="212"/>
      <c r="D58" s="212"/>
      <c r="E58" s="212"/>
      <c r="F58" s="212"/>
      <c r="G58" s="212"/>
      <c r="H58" s="213"/>
      <c r="I58" s="1">
        <v>159</v>
      </c>
      <c r="J58" s="7"/>
      <c r="K58" s="7"/>
      <c r="L58" s="7"/>
      <c r="M58" s="7"/>
    </row>
    <row r="59" spans="1:13" ht="12.75">
      <c r="A59" s="211" t="s">
        <v>194</v>
      </c>
      <c r="B59" s="212"/>
      <c r="C59" s="212"/>
      <c r="D59" s="212"/>
      <c r="E59" s="212"/>
      <c r="F59" s="212"/>
      <c r="G59" s="212"/>
      <c r="H59" s="213"/>
      <c r="I59" s="1">
        <v>160</v>
      </c>
      <c r="J59" s="7"/>
      <c r="K59" s="7"/>
      <c r="L59" s="7"/>
      <c r="M59" s="7"/>
    </row>
    <row r="60" spans="1:13" ht="12.75">
      <c r="A60" s="211" t="s">
        <v>30</v>
      </c>
      <c r="B60" s="212"/>
      <c r="C60" s="212"/>
      <c r="D60" s="212"/>
      <c r="E60" s="212"/>
      <c r="F60" s="212"/>
      <c r="G60" s="212"/>
      <c r="H60" s="213"/>
      <c r="I60" s="1">
        <v>161</v>
      </c>
      <c r="J60" s="7"/>
      <c r="K60" s="7"/>
      <c r="L60" s="7"/>
      <c r="M60" s="7"/>
    </row>
    <row r="61" spans="1:13" ht="12.75">
      <c r="A61" s="211" t="s">
        <v>195</v>
      </c>
      <c r="B61" s="212"/>
      <c r="C61" s="212"/>
      <c r="D61" s="212"/>
      <c r="E61" s="212"/>
      <c r="F61" s="212"/>
      <c r="G61" s="212"/>
      <c r="H61" s="213"/>
      <c r="I61" s="1">
        <v>162</v>
      </c>
      <c r="J61" s="7"/>
      <c r="K61" s="7"/>
      <c r="L61" s="7"/>
      <c r="M61" s="7"/>
    </row>
    <row r="62" spans="1:13" ht="12.75">
      <c r="A62" s="211" t="s">
        <v>196</v>
      </c>
      <c r="B62" s="212"/>
      <c r="C62" s="212"/>
      <c r="D62" s="212"/>
      <c r="E62" s="212"/>
      <c r="F62" s="212"/>
      <c r="G62" s="212"/>
      <c r="H62" s="213"/>
      <c r="I62" s="1">
        <v>163</v>
      </c>
      <c r="J62" s="7"/>
      <c r="K62" s="7"/>
      <c r="L62" s="7"/>
      <c r="M62" s="7"/>
    </row>
    <row r="63" spans="1:13" ht="12.75">
      <c r="A63" s="211" t="s">
        <v>197</v>
      </c>
      <c r="B63" s="212"/>
      <c r="C63" s="212"/>
      <c r="D63" s="212"/>
      <c r="E63" s="212"/>
      <c r="F63" s="212"/>
      <c r="G63" s="212"/>
      <c r="H63" s="213"/>
      <c r="I63" s="1">
        <v>164</v>
      </c>
      <c r="J63" s="7"/>
      <c r="K63" s="7"/>
      <c r="L63" s="7"/>
      <c r="M63" s="7"/>
    </row>
    <row r="64" spans="1:13" ht="12.75">
      <c r="A64" s="211" t="s">
        <v>198</v>
      </c>
      <c r="B64" s="212"/>
      <c r="C64" s="212"/>
      <c r="D64" s="212"/>
      <c r="E64" s="212"/>
      <c r="F64" s="212"/>
      <c r="G64" s="212"/>
      <c r="H64" s="213"/>
      <c r="I64" s="1">
        <v>165</v>
      </c>
      <c r="J64" s="7"/>
      <c r="K64" s="7"/>
      <c r="L64" s="7"/>
      <c r="M64" s="7"/>
    </row>
    <row r="65" spans="1:13" ht="12.75">
      <c r="A65" s="211" t="s">
        <v>187</v>
      </c>
      <c r="B65" s="212"/>
      <c r="C65" s="212"/>
      <c r="D65" s="212"/>
      <c r="E65" s="212"/>
      <c r="F65" s="212"/>
      <c r="G65" s="212"/>
      <c r="H65" s="213"/>
      <c r="I65" s="1">
        <v>166</v>
      </c>
      <c r="J65" s="7"/>
      <c r="K65" s="7"/>
      <c r="L65" s="7"/>
      <c r="M65" s="7"/>
    </row>
    <row r="66" spans="1:13" ht="12.75">
      <c r="A66" s="211" t="s">
        <v>158</v>
      </c>
      <c r="B66" s="212"/>
      <c r="C66" s="212"/>
      <c r="D66" s="212"/>
      <c r="E66" s="212"/>
      <c r="F66" s="212"/>
      <c r="G66" s="212"/>
      <c r="H66" s="213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211" t="s">
        <v>159</v>
      </c>
      <c r="B67" s="212"/>
      <c r="C67" s="212"/>
      <c r="D67" s="212"/>
      <c r="E67" s="212"/>
      <c r="F67" s="212"/>
      <c r="G67" s="212"/>
      <c r="H67" s="213"/>
      <c r="I67" s="1">
        <v>168</v>
      </c>
      <c r="J67" s="58">
        <f>J56+J66</f>
        <v>-8092915</v>
      </c>
      <c r="K67" s="58">
        <f>K56+K66</f>
        <v>-8569904</v>
      </c>
      <c r="L67" s="58">
        <f>L56+L66</f>
        <v>-3940917</v>
      </c>
      <c r="M67" s="58">
        <f>M56+M66</f>
        <v>-7580445</v>
      </c>
    </row>
    <row r="68" spans="1:13" ht="12.75" customHeight="1">
      <c r="A68" s="254" t="s">
        <v>277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5"/>
    </row>
    <row r="69" spans="1:13" ht="12.75" customHeight="1">
      <c r="A69" s="256" t="s">
        <v>153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7"/>
    </row>
    <row r="70" spans="1:13" ht="12.75">
      <c r="A70" s="247" t="s">
        <v>199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51" t="s">
        <v>200</v>
      </c>
      <c r="B71" s="252"/>
      <c r="C71" s="252"/>
      <c r="D71" s="252"/>
      <c r="E71" s="252"/>
      <c r="F71" s="252"/>
      <c r="G71" s="252"/>
      <c r="H71" s="253"/>
      <c r="I71" s="4">
        <v>170</v>
      </c>
      <c r="J71" s="8"/>
      <c r="K71" s="8"/>
      <c r="L71" s="8"/>
      <c r="M71" s="8"/>
    </row>
  </sheetData>
  <sheetProtection/>
  <protectedRanges>
    <protectedRange sqref="K8" name="Range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allowBlank="1" sqref="A1:I65536 J57:J65536 J10:J12 J16 J22:J24 J27:J28 J33 J38:J55 K9:K65536 L5:L7 L38:L65536 L10:L12 L16 L22:L24 L27:L28 L32:L33 J1:K7 N1:IV65536 L1:M4 M5:M65536"/>
    <dataValidation type="whole" operator="greaterThanOrEqual" allowBlank="1" showInputMessage="1" showErrorMessage="1" errorTitle="Pogrešan unos" error="Mogu se unijeti samo cjelobrojne pozitivne vrijednosti." sqref="J8:J9 J13:J15 J17:J21 J25:J26 J29:J32 J34:J37 L8:L9 L13:L15 L17:L21 L25:L26 L29:L31 L34:L37">
      <formula1>0</formula1>
    </dataValidation>
    <dataValidation type="whole" operator="notEqual" allowBlank="1" showInputMessage="1" showErrorMessage="1" errorTitle="Pogrešan unos" error="Mogu se unijeti samo cjelobrojne vrijednosti." sqref="J56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9" t="s">
        <v>162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304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8" t="s">
        <v>307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61" t="s">
        <v>39</v>
      </c>
      <c r="B4" s="261"/>
      <c r="C4" s="261"/>
      <c r="D4" s="261"/>
      <c r="E4" s="261"/>
      <c r="F4" s="261"/>
      <c r="G4" s="261"/>
      <c r="H4" s="261"/>
      <c r="I4" s="63" t="s">
        <v>244</v>
      </c>
      <c r="J4" s="64" t="s">
        <v>282</v>
      </c>
      <c r="K4" s="64" t="s">
        <v>283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7">
        <v>2</v>
      </c>
      <c r="J5" s="68" t="s">
        <v>247</v>
      </c>
      <c r="K5" s="68" t="s">
        <v>248</v>
      </c>
    </row>
    <row r="6" spans="1:11" ht="12.75">
      <c r="A6" s="220" t="s">
        <v>130</v>
      </c>
      <c r="B6" s="236"/>
      <c r="C6" s="236"/>
      <c r="D6" s="236"/>
      <c r="E6" s="236"/>
      <c r="F6" s="236"/>
      <c r="G6" s="236"/>
      <c r="H6" s="236"/>
      <c r="I6" s="263"/>
      <c r="J6" s="263"/>
      <c r="K6" s="264"/>
    </row>
    <row r="7" spans="1:11" ht="12.75">
      <c r="A7" s="214" t="s">
        <v>164</v>
      </c>
      <c r="B7" s="215"/>
      <c r="C7" s="215"/>
      <c r="D7" s="215"/>
      <c r="E7" s="215"/>
      <c r="F7" s="215"/>
      <c r="G7" s="215"/>
      <c r="H7" s="215"/>
      <c r="I7" s="1">
        <v>1</v>
      </c>
      <c r="J7" s="43">
        <f>7579755+57571+42601118+3463775+957</f>
        <v>53703176</v>
      </c>
      <c r="K7" s="7">
        <f>7719785+20014+42471957+5152962+23533-159900</f>
        <v>55228351</v>
      </c>
    </row>
    <row r="8" spans="1:11" ht="12.75">
      <c r="A8" s="214" t="s">
        <v>93</v>
      </c>
      <c r="B8" s="215"/>
      <c r="C8" s="215"/>
      <c r="D8" s="215"/>
      <c r="E8" s="215"/>
      <c r="F8" s="215"/>
      <c r="G8" s="215"/>
      <c r="H8" s="215"/>
      <c r="I8" s="1">
        <v>2</v>
      </c>
      <c r="J8" s="43"/>
      <c r="K8" s="7"/>
    </row>
    <row r="9" spans="1:11" ht="12.75">
      <c r="A9" s="214" t="s">
        <v>94</v>
      </c>
      <c r="B9" s="215"/>
      <c r="C9" s="215"/>
      <c r="D9" s="215"/>
      <c r="E9" s="215"/>
      <c r="F9" s="215"/>
      <c r="G9" s="215"/>
      <c r="H9" s="215"/>
      <c r="I9" s="1">
        <v>3</v>
      </c>
      <c r="J9" s="43">
        <v>216831</v>
      </c>
      <c r="K9" s="7">
        <v>289045</v>
      </c>
    </row>
    <row r="10" spans="1:11" ht="12.75">
      <c r="A10" s="214" t="s">
        <v>95</v>
      </c>
      <c r="B10" s="215"/>
      <c r="C10" s="215"/>
      <c r="D10" s="215"/>
      <c r="E10" s="215"/>
      <c r="F10" s="215"/>
      <c r="G10" s="215"/>
      <c r="H10" s="215"/>
      <c r="I10" s="1">
        <v>4</v>
      </c>
      <c r="J10" s="43">
        <v>258180</v>
      </c>
      <c r="K10" s="7">
        <v>401117</v>
      </c>
    </row>
    <row r="11" spans="1:11" ht="12.75">
      <c r="A11" s="214" t="s">
        <v>96</v>
      </c>
      <c r="B11" s="215"/>
      <c r="C11" s="215"/>
      <c r="D11" s="215"/>
      <c r="E11" s="215"/>
      <c r="F11" s="215"/>
      <c r="G11" s="215"/>
      <c r="H11" s="215"/>
      <c r="I11" s="1">
        <v>5</v>
      </c>
      <c r="J11" s="43">
        <f>284819+416332-216831</f>
        <v>484320</v>
      </c>
      <c r="K11" s="7">
        <f>497146+483487-301307-149967</f>
        <v>529359</v>
      </c>
    </row>
    <row r="12" spans="1:11" ht="12.75">
      <c r="A12" s="211" t="s">
        <v>163</v>
      </c>
      <c r="B12" s="212"/>
      <c r="C12" s="212"/>
      <c r="D12" s="212"/>
      <c r="E12" s="212"/>
      <c r="F12" s="212"/>
      <c r="G12" s="212"/>
      <c r="H12" s="212"/>
      <c r="I12" s="1">
        <v>6</v>
      </c>
      <c r="J12" s="61">
        <f>SUM(J7:J11)</f>
        <v>54662507</v>
      </c>
      <c r="K12" s="50">
        <f>SUM(K7:K11)</f>
        <v>56447872</v>
      </c>
    </row>
    <row r="13" spans="1:11" ht="12.75">
      <c r="A13" s="214" t="s">
        <v>97</v>
      </c>
      <c r="B13" s="215"/>
      <c r="C13" s="215"/>
      <c r="D13" s="215"/>
      <c r="E13" s="215"/>
      <c r="F13" s="215"/>
      <c r="G13" s="215"/>
      <c r="H13" s="215"/>
      <c r="I13" s="1">
        <v>7</v>
      </c>
      <c r="J13" s="43">
        <f>5891304+12970703+25338+344466-545592-32472-22257</f>
        <v>18631490</v>
      </c>
      <c r="K13" s="7">
        <f>6422467+12250667+169878+1069</f>
        <v>18844081</v>
      </c>
    </row>
    <row r="14" spans="1:11" ht="12.75">
      <c r="A14" s="214" t="s">
        <v>98</v>
      </c>
      <c r="B14" s="215"/>
      <c r="C14" s="215"/>
      <c r="D14" s="215"/>
      <c r="E14" s="215"/>
      <c r="F14" s="215"/>
      <c r="G14" s="215"/>
      <c r="H14" s="215"/>
      <c r="I14" s="1">
        <v>8</v>
      </c>
      <c r="J14" s="43">
        <f>23054080+167661+536800</f>
        <v>23758541</v>
      </c>
      <c r="K14" s="7">
        <f>23435347+138148+817800</f>
        <v>24391295</v>
      </c>
    </row>
    <row r="15" spans="1:11" ht="12.75">
      <c r="A15" s="214" t="s">
        <v>99</v>
      </c>
      <c r="B15" s="215"/>
      <c r="C15" s="215"/>
      <c r="D15" s="215"/>
      <c r="E15" s="215"/>
      <c r="F15" s="215"/>
      <c r="G15" s="215"/>
      <c r="H15" s="215"/>
      <c r="I15" s="1">
        <v>9</v>
      </c>
      <c r="J15" s="43">
        <v>545592</v>
      </c>
      <c r="K15" s="7">
        <v>559757</v>
      </c>
    </row>
    <row r="16" spans="1:11" ht="12.75">
      <c r="A16" s="214" t="s">
        <v>100</v>
      </c>
      <c r="B16" s="215"/>
      <c r="C16" s="215"/>
      <c r="D16" s="215"/>
      <c r="E16" s="215"/>
      <c r="F16" s="215"/>
      <c r="G16" s="215"/>
      <c r="H16" s="215"/>
      <c r="I16" s="1">
        <v>10</v>
      </c>
      <c r="J16" s="43">
        <v>6515</v>
      </c>
      <c r="K16" s="7">
        <v>1069</v>
      </c>
    </row>
    <row r="17" spans="1:11" ht="12.75">
      <c r="A17" s="214" t="s">
        <v>101</v>
      </c>
      <c r="B17" s="215"/>
      <c r="C17" s="215"/>
      <c r="D17" s="215"/>
      <c r="E17" s="215"/>
      <c r="F17" s="215"/>
      <c r="G17" s="215"/>
      <c r="H17" s="215"/>
      <c r="I17" s="1">
        <v>11</v>
      </c>
      <c r="J17" s="43">
        <f>2885617+679106</f>
        <v>3564723</v>
      </c>
      <c r="K17" s="7">
        <f>2816330+909734</f>
        <v>3726064</v>
      </c>
    </row>
    <row r="18" spans="1:11" ht="12.75">
      <c r="A18" s="214" t="s">
        <v>102</v>
      </c>
      <c r="B18" s="215"/>
      <c r="C18" s="215"/>
      <c r="D18" s="215"/>
      <c r="E18" s="215"/>
      <c r="F18" s="215"/>
      <c r="G18" s="215"/>
      <c r="H18" s="215"/>
      <c r="I18" s="1">
        <v>12</v>
      </c>
      <c r="J18" s="43">
        <f>829045+942917+39729+201274</f>
        <v>2012965</v>
      </c>
      <c r="K18" s="7">
        <f>500219</f>
        <v>500219</v>
      </c>
    </row>
    <row r="19" spans="1:11" ht="12.75">
      <c r="A19" s="211" t="s">
        <v>32</v>
      </c>
      <c r="B19" s="212"/>
      <c r="C19" s="212"/>
      <c r="D19" s="212"/>
      <c r="E19" s="212"/>
      <c r="F19" s="212"/>
      <c r="G19" s="212"/>
      <c r="H19" s="212"/>
      <c r="I19" s="1">
        <v>13</v>
      </c>
      <c r="J19" s="61">
        <f>SUM(J13:J18)</f>
        <v>48519826</v>
      </c>
      <c r="K19" s="50">
        <f>SUM(K13:K18)</f>
        <v>48022485</v>
      </c>
    </row>
    <row r="20" spans="1:11" ht="12.75">
      <c r="A20" s="211" t="s">
        <v>84</v>
      </c>
      <c r="B20" s="265"/>
      <c r="C20" s="265"/>
      <c r="D20" s="265"/>
      <c r="E20" s="265"/>
      <c r="F20" s="265"/>
      <c r="G20" s="265"/>
      <c r="H20" s="266"/>
      <c r="I20" s="1">
        <v>14</v>
      </c>
      <c r="J20" s="61">
        <f>IF(J12&gt;J19,J12-J19,0)</f>
        <v>6142681</v>
      </c>
      <c r="K20" s="50">
        <f>IF(K12&gt;K19,K12-K19,0)</f>
        <v>8425387</v>
      </c>
    </row>
    <row r="21" spans="1:11" ht="12.75">
      <c r="A21" s="217" t="s">
        <v>85</v>
      </c>
      <c r="B21" s="267"/>
      <c r="C21" s="267"/>
      <c r="D21" s="267"/>
      <c r="E21" s="267"/>
      <c r="F21" s="267"/>
      <c r="G21" s="267"/>
      <c r="H21" s="268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>
      <c r="A22" s="220" t="s">
        <v>131</v>
      </c>
      <c r="B22" s="236"/>
      <c r="C22" s="236"/>
      <c r="D22" s="236"/>
      <c r="E22" s="236"/>
      <c r="F22" s="236"/>
      <c r="G22" s="236"/>
      <c r="H22" s="236"/>
      <c r="I22" s="263"/>
      <c r="J22" s="263"/>
      <c r="K22" s="264"/>
    </row>
    <row r="23" spans="1:11" ht="12.75">
      <c r="A23" s="214" t="s">
        <v>136</v>
      </c>
      <c r="B23" s="215"/>
      <c r="C23" s="215"/>
      <c r="D23" s="215"/>
      <c r="E23" s="215"/>
      <c r="F23" s="215"/>
      <c r="G23" s="215"/>
      <c r="H23" s="215"/>
      <c r="I23" s="1">
        <v>16</v>
      </c>
      <c r="J23" s="5"/>
      <c r="K23" s="7">
        <v>159900</v>
      </c>
    </row>
    <row r="24" spans="1:11" ht="12.75">
      <c r="A24" s="214" t="s">
        <v>137</v>
      </c>
      <c r="B24" s="215"/>
      <c r="C24" s="215"/>
      <c r="D24" s="215"/>
      <c r="E24" s="215"/>
      <c r="F24" s="215"/>
      <c r="G24" s="215"/>
      <c r="H24" s="215"/>
      <c r="I24" s="1">
        <v>17</v>
      </c>
      <c r="J24" s="5"/>
      <c r="K24" s="7"/>
    </row>
    <row r="25" spans="1:11" ht="12.75">
      <c r="A25" s="214" t="s">
        <v>284</v>
      </c>
      <c r="B25" s="215"/>
      <c r="C25" s="215"/>
      <c r="D25" s="215"/>
      <c r="E25" s="215"/>
      <c r="F25" s="215"/>
      <c r="G25" s="215"/>
      <c r="H25" s="215"/>
      <c r="I25" s="1">
        <v>18</v>
      </c>
      <c r="J25" s="5"/>
      <c r="K25" s="7"/>
    </row>
    <row r="26" spans="1:11" ht="12.75">
      <c r="A26" s="214" t="s">
        <v>285</v>
      </c>
      <c r="B26" s="215"/>
      <c r="C26" s="215"/>
      <c r="D26" s="215"/>
      <c r="E26" s="215"/>
      <c r="F26" s="215"/>
      <c r="G26" s="215"/>
      <c r="H26" s="215"/>
      <c r="I26" s="1">
        <v>19</v>
      </c>
      <c r="J26" s="5"/>
      <c r="K26" s="7"/>
    </row>
    <row r="27" spans="1:11" ht="12.75">
      <c r="A27" s="214" t="s">
        <v>138</v>
      </c>
      <c r="B27" s="215"/>
      <c r="C27" s="215"/>
      <c r="D27" s="215"/>
      <c r="E27" s="215"/>
      <c r="F27" s="215"/>
      <c r="G27" s="215"/>
      <c r="H27" s="215"/>
      <c r="I27" s="1">
        <v>20</v>
      </c>
      <c r="J27" s="43">
        <v>4655192</v>
      </c>
      <c r="K27" s="7"/>
    </row>
    <row r="28" spans="1:11" ht="12.75">
      <c r="A28" s="211" t="s">
        <v>90</v>
      </c>
      <c r="B28" s="212"/>
      <c r="C28" s="212"/>
      <c r="D28" s="212"/>
      <c r="E28" s="212"/>
      <c r="F28" s="212"/>
      <c r="G28" s="212"/>
      <c r="H28" s="212"/>
      <c r="I28" s="1">
        <v>21</v>
      </c>
      <c r="J28" s="61">
        <f>SUM(J23:J27)</f>
        <v>4655192</v>
      </c>
      <c r="K28" s="50">
        <f>SUM(K23:K27)</f>
        <v>159900</v>
      </c>
    </row>
    <row r="29" spans="1:11" ht="12.75">
      <c r="A29" s="214" t="s">
        <v>2</v>
      </c>
      <c r="B29" s="215"/>
      <c r="C29" s="215"/>
      <c r="D29" s="215"/>
      <c r="E29" s="215"/>
      <c r="F29" s="215"/>
      <c r="G29" s="215"/>
      <c r="H29" s="215"/>
      <c r="I29" s="1">
        <v>22</v>
      </c>
      <c r="J29" s="43">
        <f>32472+909130</f>
        <v>941602</v>
      </c>
      <c r="K29" s="7">
        <f>171584+587197</f>
        <v>758781</v>
      </c>
    </row>
    <row r="30" spans="1:11" ht="12.75">
      <c r="A30" s="214" t="s">
        <v>3</v>
      </c>
      <c r="B30" s="215"/>
      <c r="C30" s="215"/>
      <c r="D30" s="215"/>
      <c r="E30" s="215"/>
      <c r="F30" s="215"/>
      <c r="G30" s="215"/>
      <c r="H30" s="215"/>
      <c r="I30" s="1">
        <v>23</v>
      </c>
      <c r="J30" s="43"/>
      <c r="K30" s="7"/>
    </row>
    <row r="31" spans="1:11" ht="12.75">
      <c r="A31" s="214" t="s">
        <v>4</v>
      </c>
      <c r="B31" s="215"/>
      <c r="C31" s="215"/>
      <c r="D31" s="215"/>
      <c r="E31" s="215"/>
      <c r="F31" s="215"/>
      <c r="G31" s="215"/>
      <c r="H31" s="215"/>
      <c r="I31" s="1">
        <v>24</v>
      </c>
      <c r="J31" s="43">
        <f>8389420-941602</f>
        <v>7447818</v>
      </c>
      <c r="K31" s="7">
        <f>10834933-758781</f>
        <v>10076152</v>
      </c>
    </row>
    <row r="32" spans="1:11" ht="12.75">
      <c r="A32" s="211" t="s">
        <v>33</v>
      </c>
      <c r="B32" s="212"/>
      <c r="C32" s="212"/>
      <c r="D32" s="212"/>
      <c r="E32" s="212"/>
      <c r="F32" s="212"/>
      <c r="G32" s="212"/>
      <c r="H32" s="212"/>
      <c r="I32" s="1">
        <v>25</v>
      </c>
      <c r="J32" s="61">
        <f>SUM(J29:J31)</f>
        <v>8389420</v>
      </c>
      <c r="K32" s="50">
        <f>SUM(K29:K31)</f>
        <v>10834933</v>
      </c>
    </row>
    <row r="33" spans="1:11" ht="12.75">
      <c r="A33" s="211" t="s">
        <v>86</v>
      </c>
      <c r="B33" s="212"/>
      <c r="C33" s="212"/>
      <c r="D33" s="212"/>
      <c r="E33" s="212"/>
      <c r="F33" s="212"/>
      <c r="G33" s="212"/>
      <c r="H33" s="212"/>
      <c r="I33" s="1">
        <v>26</v>
      </c>
      <c r="J33" s="61">
        <f>IF(J28&gt;J32,J28-J32,0)</f>
        <v>0</v>
      </c>
      <c r="K33" s="50">
        <f>IF(K28&gt;K32,K28-K32,0)</f>
        <v>0</v>
      </c>
    </row>
    <row r="34" spans="1:11" ht="12.75">
      <c r="A34" s="211" t="s">
        <v>87</v>
      </c>
      <c r="B34" s="212"/>
      <c r="C34" s="212"/>
      <c r="D34" s="212"/>
      <c r="E34" s="212"/>
      <c r="F34" s="212"/>
      <c r="G34" s="212"/>
      <c r="H34" s="212"/>
      <c r="I34" s="1">
        <v>27</v>
      </c>
      <c r="J34" s="61">
        <f>IF(J32&gt;J28,J32-J28,0)</f>
        <v>3734228</v>
      </c>
      <c r="K34" s="50">
        <f>IF(K32&gt;K28,K32-K28,0)</f>
        <v>10675033</v>
      </c>
    </row>
    <row r="35" spans="1:11" ht="12.75">
      <c r="A35" s="220" t="s">
        <v>132</v>
      </c>
      <c r="B35" s="236"/>
      <c r="C35" s="236"/>
      <c r="D35" s="236"/>
      <c r="E35" s="236"/>
      <c r="F35" s="236"/>
      <c r="G35" s="236"/>
      <c r="H35" s="236"/>
      <c r="I35" s="263">
        <v>0</v>
      </c>
      <c r="J35" s="263"/>
      <c r="K35" s="264"/>
    </row>
    <row r="36" spans="1:11" ht="12.75">
      <c r="A36" s="214" t="s">
        <v>144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/>
    </row>
    <row r="37" spans="1:11" ht="12.75">
      <c r="A37" s="214" t="s">
        <v>23</v>
      </c>
      <c r="B37" s="215"/>
      <c r="C37" s="215"/>
      <c r="D37" s="215"/>
      <c r="E37" s="215"/>
      <c r="F37" s="215"/>
      <c r="G37" s="215"/>
      <c r="H37" s="215"/>
      <c r="I37" s="1">
        <v>29</v>
      </c>
      <c r="J37" s="43">
        <f>8227847-491106</f>
        <v>7736741</v>
      </c>
      <c r="K37" s="7">
        <f>5956382+168638</f>
        <v>6125020</v>
      </c>
    </row>
    <row r="38" spans="1:11" ht="12.75">
      <c r="A38" s="214" t="s">
        <v>24</v>
      </c>
      <c r="B38" s="215"/>
      <c r="C38" s="215"/>
      <c r="D38" s="215"/>
      <c r="E38" s="215"/>
      <c r="F38" s="215"/>
      <c r="G38" s="215"/>
      <c r="H38" s="215"/>
      <c r="I38" s="1">
        <v>30</v>
      </c>
      <c r="J38" s="43">
        <v>491106</v>
      </c>
      <c r="K38" s="7">
        <f>6141587-6125020</f>
        <v>16567</v>
      </c>
    </row>
    <row r="39" spans="1:11" ht="12.75">
      <c r="A39" s="211" t="s">
        <v>34</v>
      </c>
      <c r="B39" s="212"/>
      <c r="C39" s="212"/>
      <c r="D39" s="212"/>
      <c r="E39" s="212"/>
      <c r="F39" s="212"/>
      <c r="G39" s="212"/>
      <c r="H39" s="212"/>
      <c r="I39" s="1">
        <v>31</v>
      </c>
      <c r="J39" s="61">
        <f>SUM(J36:J38)</f>
        <v>8227847</v>
      </c>
      <c r="K39" s="50">
        <f>SUM(K36:K38)</f>
        <v>6141587</v>
      </c>
    </row>
    <row r="40" spans="1:11" ht="12.75">
      <c r="A40" s="214" t="s">
        <v>25</v>
      </c>
      <c r="B40" s="215"/>
      <c r="C40" s="215"/>
      <c r="D40" s="215"/>
      <c r="E40" s="215"/>
      <c r="F40" s="215"/>
      <c r="G40" s="215"/>
      <c r="H40" s="215"/>
      <c r="I40" s="1">
        <v>32</v>
      </c>
      <c r="J40" s="43">
        <f>12251530+54225</f>
        <v>12305755</v>
      </c>
      <c r="K40" s="7">
        <v>8319850</v>
      </c>
    </row>
    <row r="41" spans="1:11" ht="12.75">
      <c r="A41" s="214" t="s">
        <v>26</v>
      </c>
      <c r="B41" s="215"/>
      <c r="C41" s="215"/>
      <c r="D41" s="215"/>
      <c r="E41" s="215"/>
      <c r="F41" s="215"/>
      <c r="G41" s="215"/>
      <c r="H41" s="215"/>
      <c r="I41" s="1">
        <v>33</v>
      </c>
      <c r="J41" s="43"/>
      <c r="K41" s="7"/>
    </row>
    <row r="42" spans="1:11" ht="12.75">
      <c r="A42" s="214" t="s">
        <v>27</v>
      </c>
      <c r="B42" s="215"/>
      <c r="C42" s="215"/>
      <c r="D42" s="215"/>
      <c r="E42" s="215"/>
      <c r="F42" s="215"/>
      <c r="G42" s="215"/>
      <c r="H42" s="215"/>
      <c r="I42" s="1">
        <v>34</v>
      </c>
      <c r="J42" s="43"/>
      <c r="K42" s="7"/>
    </row>
    <row r="43" spans="1:11" ht="12.75">
      <c r="A43" s="214" t="s">
        <v>28</v>
      </c>
      <c r="B43" s="215"/>
      <c r="C43" s="215"/>
      <c r="D43" s="215"/>
      <c r="E43" s="215"/>
      <c r="F43" s="215"/>
      <c r="G43" s="215"/>
      <c r="H43" s="215"/>
      <c r="I43" s="1">
        <v>35</v>
      </c>
      <c r="J43" s="43"/>
      <c r="K43" s="7"/>
    </row>
    <row r="44" spans="1:11" ht="12.75">
      <c r="A44" s="214" t="s">
        <v>29</v>
      </c>
      <c r="B44" s="215"/>
      <c r="C44" s="215"/>
      <c r="D44" s="215"/>
      <c r="E44" s="215"/>
      <c r="F44" s="215"/>
      <c r="G44" s="215"/>
      <c r="H44" s="215"/>
      <c r="I44" s="1">
        <v>36</v>
      </c>
      <c r="J44" s="43">
        <v>251508</v>
      </c>
      <c r="K44" s="7">
        <v>129812</v>
      </c>
    </row>
    <row r="45" spans="1:11" ht="12.75">
      <c r="A45" s="211" t="s">
        <v>122</v>
      </c>
      <c r="B45" s="212"/>
      <c r="C45" s="212"/>
      <c r="D45" s="212"/>
      <c r="E45" s="212"/>
      <c r="F45" s="212"/>
      <c r="G45" s="212"/>
      <c r="H45" s="212"/>
      <c r="I45" s="1">
        <v>37</v>
      </c>
      <c r="J45" s="61">
        <f>SUM(J40:J44)</f>
        <v>12557263</v>
      </c>
      <c r="K45" s="50">
        <f>SUM(K40:K44)</f>
        <v>8449662</v>
      </c>
    </row>
    <row r="46" spans="1:11" ht="12.75">
      <c r="A46" s="211" t="s">
        <v>134</v>
      </c>
      <c r="B46" s="212"/>
      <c r="C46" s="212"/>
      <c r="D46" s="212"/>
      <c r="E46" s="212"/>
      <c r="F46" s="212"/>
      <c r="G46" s="212"/>
      <c r="H46" s="212"/>
      <c r="I46" s="1">
        <v>38</v>
      </c>
      <c r="J46" s="61">
        <f>IF(J39&gt;J45,J39-J45,0)</f>
        <v>0</v>
      </c>
      <c r="K46" s="50">
        <f>IF(K39&gt;K45,K39-K45,0)</f>
        <v>0</v>
      </c>
    </row>
    <row r="47" spans="1:11" ht="12.75">
      <c r="A47" s="211" t="s">
        <v>135</v>
      </c>
      <c r="B47" s="212"/>
      <c r="C47" s="212"/>
      <c r="D47" s="212"/>
      <c r="E47" s="212"/>
      <c r="F47" s="212"/>
      <c r="G47" s="212"/>
      <c r="H47" s="212"/>
      <c r="I47" s="1">
        <v>39</v>
      </c>
      <c r="J47" s="61">
        <f>IF(J45&gt;J39,J45-J39,0)</f>
        <v>4329416</v>
      </c>
      <c r="K47" s="50">
        <f>IF(K45&gt;K39,K45-K39,0)</f>
        <v>2308075</v>
      </c>
    </row>
    <row r="48" spans="1:11" ht="12.75">
      <c r="A48" s="211" t="s">
        <v>123</v>
      </c>
      <c r="B48" s="212"/>
      <c r="C48" s="212"/>
      <c r="D48" s="212"/>
      <c r="E48" s="212"/>
      <c r="F48" s="212"/>
      <c r="G48" s="212"/>
      <c r="H48" s="212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211" t="s">
        <v>12</v>
      </c>
      <c r="B49" s="212"/>
      <c r="C49" s="212"/>
      <c r="D49" s="212"/>
      <c r="E49" s="212"/>
      <c r="F49" s="212"/>
      <c r="G49" s="212"/>
      <c r="H49" s="212"/>
      <c r="I49" s="1">
        <v>41</v>
      </c>
      <c r="J49" s="61">
        <f>IF(J21-J20+J34-J33+J47-J46&gt;0,J21-J20+J34-J33+J47-J46,0)</f>
        <v>1920963</v>
      </c>
      <c r="K49" s="50">
        <f>IF(K21-K20+K34-K33+K47-K46&gt;0,K21-K20+K34-K33+K47-K46,0)</f>
        <v>4557721</v>
      </c>
    </row>
    <row r="50" spans="1:11" ht="12.75">
      <c r="A50" s="211" t="s">
        <v>133</v>
      </c>
      <c r="B50" s="212"/>
      <c r="C50" s="212"/>
      <c r="D50" s="212"/>
      <c r="E50" s="212"/>
      <c r="F50" s="212"/>
      <c r="G50" s="212"/>
      <c r="H50" s="212"/>
      <c r="I50" s="1">
        <v>42</v>
      </c>
      <c r="J50" s="43">
        <v>11767611</v>
      </c>
      <c r="K50" s="7">
        <v>9846648</v>
      </c>
    </row>
    <row r="51" spans="1:11" ht="12.75">
      <c r="A51" s="211" t="s">
        <v>145</v>
      </c>
      <c r="B51" s="212"/>
      <c r="C51" s="212"/>
      <c r="D51" s="212"/>
      <c r="E51" s="212"/>
      <c r="F51" s="212"/>
      <c r="G51" s="212"/>
      <c r="H51" s="212"/>
      <c r="I51" s="1">
        <v>43</v>
      </c>
      <c r="J51" s="43">
        <f>+J20</f>
        <v>6142681</v>
      </c>
      <c r="K51" s="43">
        <f>+K20</f>
        <v>8425387</v>
      </c>
    </row>
    <row r="52" spans="1:11" ht="12.75">
      <c r="A52" s="211" t="s">
        <v>146</v>
      </c>
      <c r="B52" s="212"/>
      <c r="C52" s="212"/>
      <c r="D52" s="212"/>
      <c r="E52" s="212"/>
      <c r="F52" s="212"/>
      <c r="G52" s="212"/>
      <c r="H52" s="212"/>
      <c r="I52" s="1">
        <v>44</v>
      </c>
      <c r="J52" s="43">
        <f>+J34+J47</f>
        <v>8063644</v>
      </c>
      <c r="K52" s="43">
        <f>+K34+K47</f>
        <v>12983108</v>
      </c>
    </row>
    <row r="53" spans="1:11" ht="12.75">
      <c r="A53" s="217" t="s">
        <v>147</v>
      </c>
      <c r="B53" s="218"/>
      <c r="C53" s="218"/>
      <c r="D53" s="218"/>
      <c r="E53" s="218"/>
      <c r="F53" s="218"/>
      <c r="G53" s="218"/>
      <c r="H53" s="218"/>
      <c r="I53" s="4">
        <v>45</v>
      </c>
      <c r="J53" s="62">
        <f>J50+J51-J52</f>
        <v>9846648</v>
      </c>
      <c r="K53" s="58">
        <f>K50+K51-K52</f>
        <v>5288927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2">
    <dataValidation allowBlank="1" sqref="A1:I65536 L1:IV65536 J1:K6 J12:K12 J19:K22 J28:K28 J32:K36 J39:K39 J45:K49 J53:K65536"/>
    <dataValidation type="whole" operator="notEqual" allowBlank="1" showInputMessage="1" showErrorMessage="1" errorTitle="Pogrešan unos" error="Mogu se unijeti samo cjelobrojne vrijednosti." sqref="J7:K11 J13:K18 J23:K27 J29:K31 J37:K38 J40:K44 J50:K52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view="pageBreakPreview" zoomScale="125" zoomScaleSheetLayoutView="125" zoomScalePageLayoutView="0" workbookViewId="0" topLeftCell="A1">
      <selection activeCell="J19" sqref="J19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6384" width="9.140625" style="71" customWidth="1"/>
  </cols>
  <sheetData>
    <row r="1" spans="1:12" ht="12.75">
      <c r="A1" s="275" t="s">
        <v>245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70"/>
    </row>
    <row r="2" spans="1:12" ht="15.75">
      <c r="A2" s="39"/>
      <c r="B2" s="69"/>
      <c r="C2" s="285" t="s">
        <v>246</v>
      </c>
      <c r="D2" s="285"/>
      <c r="E2" s="72" t="s">
        <v>306</v>
      </c>
      <c r="F2" s="40" t="s">
        <v>215</v>
      </c>
      <c r="G2" s="286" t="s">
        <v>287</v>
      </c>
      <c r="H2" s="287"/>
      <c r="I2" s="69"/>
      <c r="J2" s="69"/>
      <c r="K2" s="69"/>
      <c r="L2" s="73"/>
    </row>
    <row r="3" spans="1:11" ht="20.25" customHeight="1">
      <c r="A3" s="288" t="s">
        <v>39</v>
      </c>
      <c r="B3" s="288"/>
      <c r="C3" s="288"/>
      <c r="D3" s="288"/>
      <c r="E3" s="288"/>
      <c r="F3" s="288"/>
      <c r="G3" s="288"/>
      <c r="H3" s="288"/>
      <c r="I3" s="76" t="s">
        <v>269</v>
      </c>
      <c r="J3" s="77" t="s">
        <v>124</v>
      </c>
      <c r="K3" s="77" t="s">
        <v>125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9">
        <v>2</v>
      </c>
      <c r="J4" s="78" t="s">
        <v>247</v>
      </c>
      <c r="K4" s="78" t="s">
        <v>248</v>
      </c>
    </row>
    <row r="5" spans="1:11" ht="12.75">
      <c r="A5" s="277" t="s">
        <v>249</v>
      </c>
      <c r="B5" s="278"/>
      <c r="C5" s="278"/>
      <c r="D5" s="278"/>
      <c r="E5" s="278"/>
      <c r="F5" s="278"/>
      <c r="G5" s="278"/>
      <c r="H5" s="278"/>
      <c r="I5" s="41">
        <v>1</v>
      </c>
      <c r="J5" s="42">
        <v>103144000</v>
      </c>
      <c r="K5" s="42">
        <v>103144000</v>
      </c>
    </row>
    <row r="6" spans="1:11" ht="12.75">
      <c r="A6" s="277" t="s">
        <v>250</v>
      </c>
      <c r="B6" s="278"/>
      <c r="C6" s="278"/>
      <c r="D6" s="278"/>
      <c r="E6" s="278"/>
      <c r="F6" s="278"/>
      <c r="G6" s="278"/>
      <c r="H6" s="278"/>
      <c r="I6" s="41">
        <v>2</v>
      </c>
      <c r="J6" s="43"/>
      <c r="K6" s="43"/>
    </row>
    <row r="7" spans="1:11" ht="12.75">
      <c r="A7" s="277" t="s">
        <v>251</v>
      </c>
      <c r="B7" s="278"/>
      <c r="C7" s="278"/>
      <c r="D7" s="278"/>
      <c r="E7" s="278"/>
      <c r="F7" s="278"/>
      <c r="G7" s="278"/>
      <c r="H7" s="278"/>
      <c r="I7" s="41">
        <v>3</v>
      </c>
      <c r="J7" s="43">
        <v>9808842</v>
      </c>
      <c r="K7" s="43">
        <v>9808842</v>
      </c>
    </row>
    <row r="8" spans="1:11" ht="12.75">
      <c r="A8" s="277" t="s">
        <v>252</v>
      </c>
      <c r="B8" s="278"/>
      <c r="C8" s="278"/>
      <c r="D8" s="278"/>
      <c r="E8" s="278"/>
      <c r="F8" s="278"/>
      <c r="G8" s="278"/>
      <c r="H8" s="278"/>
      <c r="I8" s="41">
        <v>4</v>
      </c>
      <c r="J8" s="43">
        <v>-2857099</v>
      </c>
      <c r="K8" s="43">
        <v>-10950014</v>
      </c>
    </row>
    <row r="9" spans="1:11" ht="12.75">
      <c r="A9" s="277" t="s">
        <v>253</v>
      </c>
      <c r="B9" s="278"/>
      <c r="C9" s="278"/>
      <c r="D9" s="278"/>
      <c r="E9" s="278"/>
      <c r="F9" s="278"/>
      <c r="G9" s="278"/>
      <c r="H9" s="278"/>
      <c r="I9" s="41">
        <v>5</v>
      </c>
      <c r="J9" s="43">
        <v>-8092915</v>
      </c>
      <c r="K9" s="43">
        <v>-3940917</v>
      </c>
    </row>
    <row r="10" spans="1:11" ht="12.75">
      <c r="A10" s="277" t="s">
        <v>254</v>
      </c>
      <c r="B10" s="278"/>
      <c r="C10" s="278"/>
      <c r="D10" s="278"/>
      <c r="E10" s="278"/>
      <c r="F10" s="278"/>
      <c r="G10" s="278"/>
      <c r="H10" s="278"/>
      <c r="I10" s="41">
        <v>6</v>
      </c>
      <c r="J10" s="43">
        <v>27164505</v>
      </c>
      <c r="K10" s="43">
        <v>27164505</v>
      </c>
    </row>
    <row r="11" spans="1:11" ht="12.75">
      <c r="A11" s="277" t="s">
        <v>255</v>
      </c>
      <c r="B11" s="278"/>
      <c r="C11" s="278"/>
      <c r="D11" s="278"/>
      <c r="E11" s="278"/>
      <c r="F11" s="278"/>
      <c r="G11" s="278"/>
      <c r="H11" s="278"/>
      <c r="I11" s="41">
        <v>7</v>
      </c>
      <c r="J11" s="43"/>
      <c r="K11" s="43"/>
    </row>
    <row r="12" spans="1:11" ht="12.75">
      <c r="A12" s="277" t="s">
        <v>256</v>
      </c>
      <c r="B12" s="278"/>
      <c r="C12" s="278"/>
      <c r="D12" s="278"/>
      <c r="E12" s="278"/>
      <c r="F12" s="278"/>
      <c r="G12" s="278"/>
      <c r="H12" s="278"/>
      <c r="I12" s="41">
        <v>8</v>
      </c>
      <c r="J12" s="43"/>
      <c r="K12" s="43"/>
    </row>
    <row r="13" spans="1:11" ht="12.75">
      <c r="A13" s="277" t="s">
        <v>257</v>
      </c>
      <c r="B13" s="278"/>
      <c r="C13" s="278"/>
      <c r="D13" s="278"/>
      <c r="E13" s="278"/>
      <c r="F13" s="278"/>
      <c r="G13" s="278"/>
      <c r="H13" s="278"/>
      <c r="I13" s="41">
        <v>9</v>
      </c>
      <c r="J13" s="43"/>
      <c r="K13" s="43"/>
    </row>
    <row r="14" spans="1:11" ht="12.75">
      <c r="A14" s="279" t="s">
        <v>258</v>
      </c>
      <c r="B14" s="280"/>
      <c r="C14" s="280"/>
      <c r="D14" s="280"/>
      <c r="E14" s="280"/>
      <c r="F14" s="280"/>
      <c r="G14" s="280"/>
      <c r="H14" s="280"/>
      <c r="I14" s="41">
        <v>10</v>
      </c>
      <c r="J14" s="74">
        <f>SUM(J5:J13)</f>
        <v>129167333</v>
      </c>
      <c r="K14" s="74">
        <f>SUM(K5:K13)</f>
        <v>125226416</v>
      </c>
    </row>
    <row r="15" spans="1:11" ht="12.75">
      <c r="A15" s="277" t="s">
        <v>259</v>
      </c>
      <c r="B15" s="278"/>
      <c r="C15" s="278"/>
      <c r="D15" s="278"/>
      <c r="E15" s="278"/>
      <c r="F15" s="278"/>
      <c r="G15" s="278"/>
      <c r="H15" s="278"/>
      <c r="I15" s="41">
        <v>11</v>
      </c>
      <c r="J15" s="43"/>
      <c r="K15" s="43"/>
    </row>
    <row r="16" spans="1:11" ht="12.75">
      <c r="A16" s="277" t="s">
        <v>260</v>
      </c>
      <c r="B16" s="278"/>
      <c r="C16" s="278"/>
      <c r="D16" s="278"/>
      <c r="E16" s="278"/>
      <c r="F16" s="278"/>
      <c r="G16" s="278"/>
      <c r="H16" s="278"/>
      <c r="I16" s="41">
        <v>12</v>
      </c>
      <c r="J16" s="43"/>
      <c r="K16" s="43"/>
    </row>
    <row r="17" spans="1:11" ht="12.75">
      <c r="A17" s="277" t="s">
        <v>261</v>
      </c>
      <c r="B17" s="278"/>
      <c r="C17" s="278"/>
      <c r="D17" s="278"/>
      <c r="E17" s="278"/>
      <c r="F17" s="278"/>
      <c r="G17" s="278"/>
      <c r="H17" s="278"/>
      <c r="I17" s="41">
        <v>13</v>
      </c>
      <c r="J17" s="43"/>
      <c r="K17" s="43"/>
    </row>
    <row r="18" spans="1:11" ht="12.75">
      <c r="A18" s="277" t="s">
        <v>262</v>
      </c>
      <c r="B18" s="278"/>
      <c r="C18" s="278"/>
      <c r="D18" s="278"/>
      <c r="E18" s="278"/>
      <c r="F18" s="278"/>
      <c r="G18" s="278"/>
      <c r="H18" s="278"/>
      <c r="I18" s="41">
        <v>14</v>
      </c>
      <c r="J18" s="43"/>
      <c r="K18" s="43"/>
    </row>
    <row r="19" spans="1:11" ht="12.75">
      <c r="A19" s="277" t="s">
        <v>263</v>
      </c>
      <c r="B19" s="278"/>
      <c r="C19" s="278"/>
      <c r="D19" s="278"/>
      <c r="E19" s="278"/>
      <c r="F19" s="278"/>
      <c r="G19" s="278"/>
      <c r="H19" s="278"/>
      <c r="I19" s="41">
        <v>15</v>
      </c>
      <c r="J19" s="43"/>
      <c r="K19" s="43"/>
    </row>
    <row r="20" spans="1:11" ht="12.75">
      <c r="A20" s="277" t="s">
        <v>264</v>
      </c>
      <c r="B20" s="278"/>
      <c r="C20" s="278"/>
      <c r="D20" s="278"/>
      <c r="E20" s="278"/>
      <c r="F20" s="278"/>
      <c r="G20" s="278"/>
      <c r="H20" s="278"/>
      <c r="I20" s="41">
        <v>16</v>
      </c>
      <c r="J20" s="43"/>
      <c r="K20" s="43"/>
    </row>
    <row r="21" spans="1:11" ht="12.75">
      <c r="A21" s="279" t="s">
        <v>265</v>
      </c>
      <c r="B21" s="280"/>
      <c r="C21" s="280"/>
      <c r="D21" s="280"/>
      <c r="E21" s="280"/>
      <c r="F21" s="280"/>
      <c r="G21" s="280"/>
      <c r="H21" s="280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>
      <c r="A23" s="269" t="s">
        <v>266</v>
      </c>
      <c r="B23" s="270"/>
      <c r="C23" s="270"/>
      <c r="D23" s="270"/>
      <c r="E23" s="270"/>
      <c r="F23" s="270"/>
      <c r="G23" s="270"/>
      <c r="H23" s="270"/>
      <c r="I23" s="44">
        <v>18</v>
      </c>
      <c r="J23" s="42"/>
      <c r="K23" s="42"/>
    </row>
    <row r="24" spans="1:11" ht="17.25" customHeight="1">
      <c r="A24" s="271" t="s">
        <v>267</v>
      </c>
      <c r="B24" s="272"/>
      <c r="C24" s="272"/>
      <c r="D24" s="272"/>
      <c r="E24" s="272"/>
      <c r="F24" s="272"/>
      <c r="G24" s="272"/>
      <c r="H24" s="272"/>
      <c r="I24" s="45">
        <v>19</v>
      </c>
      <c r="J24" s="75"/>
      <c r="K24" s="75"/>
    </row>
    <row r="25" spans="1:11" ht="30" customHeight="1">
      <c r="A25" s="273" t="s">
        <v>268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:K4 J11:K65536"/>
    <dataValidation type="whole" operator="notEqual" allowBlank="1" showInputMessage="1" showErrorMessage="1" errorTitle="Pogrešan unos" error="Mogu se unijeti samo cjelobrojne vrijednosti." sqref="J5:K10">
      <formula1>999999999999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Marijanav</cp:lastModifiedBy>
  <cp:lastPrinted>2012-02-09T13:49:10Z</cp:lastPrinted>
  <dcterms:created xsi:type="dcterms:W3CDTF">2008-10-17T11:51:54Z</dcterms:created>
  <dcterms:modified xsi:type="dcterms:W3CDTF">2012-02-09T13:51:57Z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