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65" windowHeight="7425" firstSheet="1" activeTab="2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</sheets>
  <definedNames>
    <definedName name="_xlnm.Print_Area" localSheetId="2">'Bilanca'!$A$5:$K$114</definedName>
    <definedName name="_xlnm.Print_Area" localSheetId="1">'OPĆI PODACI'!$A$1:$I$62</definedName>
    <definedName name="_xlnm.Print_Titles" localSheetId="2">'Bilanca'!$1:$4</definedName>
  </definedNames>
  <calcPr fullCalcOnLoad="1"/>
</workbook>
</file>

<file path=xl/sharedStrings.xml><?xml version="1.0" encoding="utf-8"?>
<sst xmlns="http://schemas.openxmlformats.org/spreadsheetml/2006/main" count="846" uniqueCount="412">
  <si>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</si>
  <si>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</si>
  <si>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</si>
  <si>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</si>
  <si>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</si>
  <si>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</si>
  <si>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</si>
  <si>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</si>
  <si>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</si>
  <si>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</si>
  <si>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</si>
  <si>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</si>
  <si>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</si>
  <si>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</si>
  <si>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</si>
  <si>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</si>
  <si>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</si>
  <si>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</si>
  <si>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</si>
  <si>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</si>
  <si>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</si>
  <si>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</si>
  <si>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</si>
  <si>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</si>
  <si>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</si>
  <si>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</si>
  <si>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</si>
  <si>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</si>
  <si>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</si>
  <si>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</si>
  <si>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</si>
  <si>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</si>
  <si>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</si>
  <si>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</si>
  <si>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</si>
  <si>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</si>
  <si>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</si>
  <si>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</si>
  <si>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</si>
  <si>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</si>
  <si>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</si>
  <si>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</si>
  <si>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</si>
  <si>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</si>
  <si>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</si>
  <si>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</si>
  <si>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</si>
  <si>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</si>
  <si>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</si>
  <si>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</si>
  <si>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</si>
  <si>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</si>
  <si>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</si>
  <si>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</si>
  <si>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</si>
  <si>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</si>
  <si>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</si>
  <si>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</si>
  <si>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</si>
  <si>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</si>
  <si>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</si>
  <si>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</si>
  <si>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</si>
  <si>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</si>
  <si>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</si>
  <si>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</si>
  <si>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</si>
  <si>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</si>
  <si>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</si>
  <si>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</si>
  <si>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</si>
  <si>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</si>
  <si>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</si>
  <si>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</si>
  <si>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</si>
  <si>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</si>
  <si>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</si>
  <si>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</si>
  <si>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</si>
  <si>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</si>
  <si>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</si>
  <si>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</si>
  <si>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</si>
  <si>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</si>
  <si>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</si>
  <si>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</si>
  <si>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</si>
  <si>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</si>
  <si>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</si>
  <si>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</si>
  <si>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</si>
  <si>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</si>
  <si>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</si>
  <si>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</si>
  <si>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</si>
  <si>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</si>
  <si>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</si>
  <si>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</si>
  <si>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</si>
  <si>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</si>
  <si>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</si>
  <si>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</si>
  <si>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</si>
  <si>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</si>
  <si>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</si>
  <si>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</si>
  <si>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</si>
  <si>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</si>
  <si>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</si>
  <si>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</si>
  <si>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</si>
  <si>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</si>
  <si>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</si>
  <si>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</si>
  <si>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</si>
  <si>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</si>
  <si>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</si>
  <si>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</si>
  <si>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</si>
  <si>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</si>
  <si>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</si>
  <si>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</si>
  <si>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</si>
  <si>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</si>
  <si>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</si>
  <si>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</si>
  <si>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</si>
  <si>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</si>
  <si>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</si>
  <si>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</si>
  <si>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</si>
  <si>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</si>
  <si>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</si>
  <si>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</si>
  <si>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</si>
  <si>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</si>
  <si>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</si>
  <si>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</si>
  <si>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</si>
  <si>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</si>
  <si>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</si>
  <si>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</si>
  <si>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</si>
  <si>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</si>
  <si>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</si>
  <si>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</si>
  <si>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</si>
  <si>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</si>
  <si>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</si>
  <si>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</si>
  <si>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</si>
  <si>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</si>
  <si>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</si>
  <si>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</si>
  <si>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</si>
  <si>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</si>
  <si>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</si>
  <si>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</si>
  <si>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</si>
  <si>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</si>
  <si>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</si>
  <si>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</si>
  <si>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</si>
  <si>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</si>
  <si>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</si>
  <si>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</si>
  <si>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</si>
  <si>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</si>
  <si>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</si>
  <si>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</si>
  <si>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</si>
  <si>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</si>
  <si>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</si>
  <si>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</si>
  <si>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</si>
  <si>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</si>
  <si>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</si>
  <si>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</si>
  <si>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</si>
  <si>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</si>
  <si>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</si>
  <si>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</si>
  <si>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</si>
  <si>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</si>
  <si>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</si>
  <si>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</si>
  <si>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</si>
  <si>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</si>
  <si>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</si>
  <si>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</si>
  <si>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</si>
  <si>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</si>
  <si>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</si>
  <si>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</si>
  <si>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</si>
  <si>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</si>
  <si>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</si>
  <si>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</si>
  <si>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</si>
  <si>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</si>
  <si>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</si>
  <si>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</si>
  <si>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</si>
  <si>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</si>
  <si>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</si>
  <si>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</si>
  <si>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</si>
  <si>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</si>
  <si>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</si>
  <si>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</si>
  <si>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</si>
  <si>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</si>
  <si>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</si>
  <si>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</si>
  <si>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</si>
  <si>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</si>
  <si>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</si>
  <si>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</si>
  <si>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</si>
  <si>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</si>
  <si>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</si>
  <si>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</si>
  <si>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</si>
  <si>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</si>
  <si>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</si>
  <si>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</si>
  <si>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</si>
  <si>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</si>
  <si>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</si>
  <si>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</si>
  <si>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</si>
  <si>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</si>
  <si>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</si>
  <si>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</si>
  <si>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</si>
  <si>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</si>
  <si>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</si>
  <si>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</si>
  <si>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</si>
  <si>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</si>
  <si>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</si>
  <si>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</si>
  <si>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</si>
  <si>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</si>
  <si>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</si>
  <si>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</si>
  <si>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</si>
  <si>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</si>
  <si>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</si>
  <si>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</si>
  <si>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</si>
  <si>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</si>
  <si>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</si>
  <si>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</si>
  <si>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</si>
  <si>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</si>
  <si>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</si>
  <si>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</si>
  <si>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</si>
  <si>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</si>
  <si>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</si>
  <si>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</si>
  <si>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</si>
  <si>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</si>
  <si>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</si>
  <si>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</si>
  <si>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</si>
  <si>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</si>
  <si>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</si>
  <si>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</si>
  <si>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</si>
  <si>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</si>
  <si>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</si>
  <si>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</si>
  <si>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</si>
  <si>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</si>
  <si>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</si>
  <si>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</si>
  <si>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</si>
  <si>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</si>
  <si>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</si>
  <si>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</si>
  <si>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</si>
  <si>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</si>
  <si>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</si>
  <si>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</si>
  <si>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</si>
  <si>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</si>
  <si>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</si>
  <si>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</si>
  <si>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</si>
  <si>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</si>
  <si>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</si>
  <si>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</si>
  <si>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</si>
  <si>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</si>
  <si>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</si>
  <si>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</si>
  <si>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</si>
  <si>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</si>
  <si>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</si>
  <si>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</si>
  <si>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</si>
  <si>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</si>
  <si>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</si>
  <si>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</si>
  <si>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</si>
  <si>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</si>
  <si>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</si>
  <si>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</si>
  <si>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</si>
  <si>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</si>
  <si>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</si>
  <si>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</si>
  <si>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</si>
  <si>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</si>
  <si>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</si>
  <si>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</si>
  <si>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</si>
  <si>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</si>
  <si>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</si>
  <si>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</si>
  <si>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</si>
  <si>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</si>
  <si>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</si>
  <si>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</si>
  <si>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</si>
  <si>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</si>
  <si>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</si>
  <si>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</si>
  <si>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</si>
  <si>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</si>
  <si>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</si>
  <si>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</si>
  <si>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</si>
  <si>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</si>
  <si>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</si>
  <si>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</si>
  <si>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</si>
  <si>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</si>
  <si>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</si>
  <si>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</si>
  <si>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</si>
  <si>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</si>
  <si>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</si>
  <si>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</si>
  <si>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</si>
  <si>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</si>
  <si>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</si>
  <si>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</si>
  <si>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</si>
  <si>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</si>
  <si>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</si>
  <si>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</si>
  <si>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</si>
  <si>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</si>
  <si>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</si>
  <si>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</si>
  <si>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</si>
  <si>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</si>
  <si>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</si>
  <si>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</si>
  <si>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</si>
  <si>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</si>
  <si>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</si>
  <si>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</si>
  <si>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</si>
  <si>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</si>
  <si>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</si>
  <si>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</si>
  <si>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</si>
  <si>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</si>
  <si>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</si>
  <si>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</si>
  <si>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</si>
  <si>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</si>
  <si>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</si>
  <si>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</si>
  <si>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</si>
  <si>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</si>
  <si>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</si>
  <si>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</si>
  <si>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</si>
  <si>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</si>
  <si>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</si>
  <si>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</si>
  <si>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</si>
  <si>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</si>
  <si>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</si>
  <si>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</si>
  <si>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</si>
  <si>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</si>
  <si>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</si>
  <si>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>Prilog 1.</t>
  </si>
  <si>
    <t>03440885</t>
  </si>
  <si>
    <t>060008247</t>
  </si>
  <si>
    <t>88557173997</t>
  </si>
  <si>
    <t>HOTELI MAESTRAL d.d.</t>
  </si>
  <si>
    <t>DUBROVNIK</t>
  </si>
  <si>
    <t>Ćira Carića 3</t>
  </si>
  <si>
    <t>hotelimaestral@hotelimaestral.com</t>
  </si>
  <si>
    <t>www.hotelimaestral</t>
  </si>
  <si>
    <t>DUBROVAČKO-NERETVANSKA</t>
  </si>
  <si>
    <t>NE</t>
  </si>
  <si>
    <t>5510</t>
  </si>
  <si>
    <t>Marijana Zuanić</t>
  </si>
  <si>
    <t>020/433-600</t>
  </si>
  <si>
    <t>mr.sc. Obuljen Davorko</t>
  </si>
  <si>
    <t>31.12.2010.</t>
  </si>
  <si>
    <t>01.01.</t>
  </si>
  <si>
    <t>01.01.2010.</t>
  </si>
  <si>
    <t>020/435-656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</si>
</sst>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/>
      <top>
        <color indexed="8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2" borderId="11" xfId="0" applyNumberFormat="1" applyFont="1" applyFill="1" applyBorder="1" applyAlignment="1" applyProtection="1">
      <alignment vertical="center"/>
      <protection hidden="1"/>
    </xf>
    <xf numFmtId="3" fontId="1" fillId="2" borderId="12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" borderId="13" xfId="0" applyNumberFormat="1" applyFont="1" applyFill="1" applyBorder="1" applyAlignment="1" applyProtection="1">
      <alignment vertical="center"/>
      <protection hidden="1"/>
    </xf>
    <xf numFmtId="3" fontId="1" fillId="2" borderId="14" xfId="0" applyNumberFormat="1" applyFont="1" applyFill="1" applyBorder="1" applyAlignment="1" applyProtection="1">
      <alignment vertical="center"/>
      <protection hidden="1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14" fontId="2" fillId="2" borderId="9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horizontal="left" vertical="center" wrapText="1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left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3" fillId="0" borderId="0" xfId="22" applyFont="1" applyAlignment="1" applyProtection="1">
      <alignment/>
      <protection hidden="1"/>
    </xf>
    <xf numFmtId="0" fontId="10" fillId="0" borderId="0" xfId="22" applyFont="1" applyBorder="1" applyAlignment="1" applyProtection="1">
      <alignment horizontal="right" vertical="center" wrapText="1"/>
      <protection hidden="1"/>
    </xf>
    <xf numFmtId="0" fontId="10" fillId="0" borderId="0" xfId="22" applyFont="1" applyAlignment="1" applyProtection="1">
      <alignment horizontal="right"/>
      <protection hidden="1"/>
    </xf>
    <xf numFmtId="0" fontId="10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/>
      <protection hidden="1"/>
    </xf>
    <xf numFmtId="0" fontId="3" fillId="0" borderId="0" xfId="22" applyFont="1" applyAlignment="1" applyProtection="1">
      <alignment horizontal="right" vertical="center"/>
      <protection hidden="1"/>
    </xf>
    <xf numFmtId="0" fontId="3" fillId="0" borderId="0" xfId="22" applyFont="1" applyAlignment="1" applyProtection="1">
      <alignment wrapText="1"/>
      <protection hidden="1"/>
    </xf>
    <xf numFmtId="0" fontId="3" fillId="0" borderId="0" xfId="22" applyFont="1" applyAlignment="1" applyProtection="1">
      <alignment horizontal="right"/>
      <protection hidden="1"/>
    </xf>
    <xf numFmtId="0" fontId="3" fillId="0" borderId="0" xfId="22" applyFont="1" applyProtection="1">
      <alignment/>
      <protection hidden="1"/>
    </xf>
    <xf numFmtId="0" fontId="3" fillId="0" borderId="0" xfId="22" applyFont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3" fontId="2" fillId="2" borderId="18" xfId="22" applyNumberFormat="1" applyFont="1" applyFill="1" applyBorder="1" applyAlignment="1" applyProtection="1">
      <alignment horizontal="right" vertical="center"/>
      <protection hidden="1" locked="0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Alignment="1" applyProtection="1">
      <alignment/>
      <protection hidden="1"/>
    </xf>
    <xf numFmtId="49" fontId="2" fillId="2" borderId="18" xfId="22" applyNumberFormat="1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Alignment="1" applyProtection="1">
      <alignment horizontal="left" vertical="top" indent="2"/>
      <protection hidden="1"/>
    </xf>
    <xf numFmtId="0" fontId="3" fillId="0" borderId="0" xfId="22" applyFont="1" applyAlignment="1" applyProtection="1">
      <alignment horizontal="left" vertical="top" wrapText="1" indent="2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2" fillId="2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>
      <alignment/>
      <protection/>
    </xf>
    <xf numFmtId="49" fontId="2" fillId="2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22" applyNumberFormat="1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19" xfId="22" applyFont="1" applyBorder="1" applyProtection="1">
      <alignment/>
      <protection hidden="1"/>
    </xf>
    <xf numFmtId="0" fontId="3" fillId="0" borderId="0" xfId="22" applyFont="1" applyAlignment="1" applyProtection="1">
      <alignment vertical="top"/>
      <protection hidden="1"/>
    </xf>
    <xf numFmtId="0" fontId="3" fillId="0" borderId="0" xfId="22" applyFont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11" fillId="0" borderId="0" xfId="22" applyFont="1" applyBorder="1" applyAlignment="1" applyProtection="1">
      <alignment vertical="center"/>
      <protection hidden="1"/>
    </xf>
    <xf numFmtId="0" fontId="11" fillId="0" borderId="0" xfId="22" applyFont="1" applyFill="1" applyBorder="1" applyAlignment="1" applyProtection="1">
      <alignment vertical="center"/>
      <protection hidden="1"/>
    </xf>
    <xf numFmtId="0" fontId="2" fillId="0" borderId="0" xfId="22" applyFont="1" applyAlignment="1" applyProtection="1">
      <alignment vertical="center"/>
      <protection hidden="1"/>
    </xf>
    <xf numFmtId="0" fontId="3" fillId="0" borderId="20" xfId="22" applyFont="1" applyBorder="1" applyProtection="1">
      <alignment/>
      <protection hidden="1"/>
    </xf>
    <xf numFmtId="0" fontId="3" fillId="0" borderId="20" xfId="22" applyFont="1" applyBorder="1">
      <alignment/>
      <protection/>
    </xf>
    <xf numFmtId="0" fontId="3" fillId="0" borderId="0" xfId="22" applyFont="1" applyFill="1" applyBorder="1" applyAlignment="1" applyProtection="1">
      <alignment horizontal="right" vertical="top" wrapText="1"/>
      <protection hidden="1"/>
    </xf>
    <xf numFmtId="0" fontId="7" fillId="0" borderId="0" xfId="15" applyFont="1" applyAlignment="1">
      <alignment horizontal="center"/>
      <protection/>
    </xf>
    <xf numFmtId="0" fontId="0" fillId="0" borderId="0" xfId="15" applyFont="1">
      <alignment vertical="top"/>
      <protection/>
    </xf>
    <xf numFmtId="0" fontId="6" fillId="0" borderId="0" xfId="15" applyFont="1" applyAlignment="1">
      <alignment horizontal="center"/>
      <protection/>
    </xf>
    <xf numFmtId="0" fontId="0" fillId="0" borderId="0" xfId="15" applyFont="1" applyAlignment="1">
      <alignment/>
      <protection/>
    </xf>
    <xf numFmtId="0" fontId="7" fillId="0" borderId="0" xfId="15" applyFont="1" applyFill="1" applyBorder="1" applyAlignment="1">
      <alignment horizontal="center" vertical="center"/>
      <protection/>
    </xf>
    <xf numFmtId="0" fontId="7" fillId="0" borderId="0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 applyProtection="1">
      <alignment horizontal="center" vertical="center"/>
      <protection hidden="1"/>
    </xf>
    <xf numFmtId="0" fontId="6" fillId="0" borderId="5" xfId="15" applyFont="1" applyFill="1" applyBorder="1" applyAlignment="1" applyProtection="1">
      <alignment horizontal="center" vertical="center"/>
      <protection hidden="1"/>
    </xf>
    <xf numFmtId="0" fontId="6" fillId="0" borderId="0" xfId="15" applyFont="1" applyFill="1" applyBorder="1" applyAlignment="1" applyProtection="1">
      <alignment horizontal="center" vertical="center"/>
      <protection hidden="1"/>
    </xf>
    <xf numFmtId="14" fontId="6" fillId="2" borderId="0" xfId="15" applyNumberFormat="1" applyFont="1" applyFill="1" applyBorder="1" applyAlignment="1" applyProtection="1">
      <alignment horizontal="center" vertical="center"/>
      <protection hidden="1" locked="0"/>
    </xf>
    <xf numFmtId="0" fontId="2" fillId="3" borderId="21" xfId="0" applyFont="1" applyFill="1" applyBorder="1" applyAlignment="1" applyProtection="1">
      <alignment horizontal="center" vertical="center" wrapText="1"/>
      <protection hidden="1"/>
    </xf>
    <xf numFmtId="0" fontId="12" fillId="3" borderId="21" xfId="0" applyFont="1" applyFill="1" applyBorder="1" applyAlignment="1" applyProtection="1">
      <alignment horizontal="center" vertical="center" wrapText="1"/>
      <protection hidden="1"/>
    </xf>
    <xf numFmtId="0" fontId="12" fillId="3" borderId="22" xfId="0" applyFont="1" applyFill="1" applyBorder="1" applyAlignment="1" applyProtection="1">
      <alignment horizontal="center" vertical="center" wrapText="1"/>
      <protection hidden="1"/>
    </xf>
    <xf numFmtId="0" fontId="12" fillId="3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14" xfId="0" applyNumberFormat="1" applyFont="1" applyFill="1" applyBorder="1" applyAlignment="1">
      <alignment horizontal="center" vertical="center"/>
    </xf>
    <xf numFmtId="0" fontId="0" fillId="0" borderId="0" xfId="15" applyFont="1" applyBorder="1" applyAlignment="1">
      <alignment horizontal="center" vertical="center"/>
      <protection/>
    </xf>
    <xf numFmtId="0" fontId="0" fillId="0" borderId="0" xfId="15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  <protection/>
    </xf>
    <xf numFmtId="0" fontId="2" fillId="3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3" borderId="22" xfId="0" applyFont="1" applyFill="1" applyBorder="1" applyAlignment="1">
      <alignment horizontal="center" vertical="center"/>
    </xf>
    <xf numFmtId="49" fontId="12" fillId="3" borderId="22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2" borderId="11" xfId="0" applyNumberFormat="1" applyFont="1" applyFill="1" applyBorder="1" applyAlignment="1" applyProtection="1">
      <alignment vertical="center"/>
      <protection hidden="1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167" fontId="2" fillId="0" borderId="4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 applyProtection="1">
      <alignment vertical="center"/>
      <protection hidden="1"/>
    </xf>
    <xf numFmtId="3" fontId="1" fillId="2" borderId="4" xfId="0" applyNumberFormat="1" applyFont="1" applyFill="1" applyBorder="1" applyAlignment="1" applyProtection="1">
      <alignment vertical="center"/>
      <protection hidden="1"/>
    </xf>
    <xf numFmtId="0" fontId="12" fillId="3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15" applyFont="1" applyAlignment="1">
      <alignment wrapText="1"/>
      <protection/>
    </xf>
    <xf numFmtId="0" fontId="0" fillId="0" borderId="0" xfId="15" applyFont="1" applyBorder="1" applyAlignment="1">
      <alignment wrapText="1"/>
      <protection/>
    </xf>
    <xf numFmtId="49" fontId="12" fillId="3" borderId="2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" fontId="2" fillId="2" borderId="18" xfId="15" applyNumberFormat="1" applyFont="1" applyFill="1" applyBorder="1" applyAlignment="1" applyProtection="1">
      <alignment horizontal="center" vertical="center"/>
      <protection hidden="1" locked="0"/>
    </xf>
    <xf numFmtId="0" fontId="2" fillId="2" borderId="18" xfId="15" applyFont="1" applyFill="1" applyBorder="1" applyAlignment="1" applyProtection="1">
      <alignment horizontal="center" vertical="center"/>
      <protection hidden="1" locked="0"/>
    </xf>
    <xf numFmtId="4" fontId="0" fillId="0" borderId="0" xfId="0" applyNumberFormat="1" applyAlignment="1">
      <alignment/>
    </xf>
    <xf numFmtId="0" fontId="2" fillId="2" borderId="6" xfId="22" applyFont="1" applyFill="1" applyBorder="1" applyAlignment="1" applyProtection="1">
      <alignment horizontal="right" vertical="center"/>
      <protection hidden="1" locked="0"/>
    </xf>
    <xf numFmtId="0" fontId="3" fillId="0" borderId="7" xfId="22" applyFont="1" applyBorder="1" applyAlignment="1">
      <alignment/>
      <protection/>
    </xf>
    <xf numFmtId="0" fontId="3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center"/>
      <protection/>
    </xf>
    <xf numFmtId="0" fontId="3" fillId="0" borderId="0" xfId="22" applyFont="1" applyAlignment="1" applyProtection="1">
      <alignment horizontal="center" vertical="center"/>
      <protection hidden="1"/>
    </xf>
    <xf numFmtId="0" fontId="3" fillId="0" borderId="0" xfId="22" applyFont="1" applyAlignment="1">
      <alignment horizontal="center" vertical="center"/>
      <protection/>
    </xf>
    <xf numFmtId="0" fontId="3" fillId="0" borderId="0" xfId="22" applyFont="1" applyAlignment="1">
      <alignment horizontal="center"/>
      <protection/>
    </xf>
    <xf numFmtId="0" fontId="3" fillId="0" borderId="0" xfId="22" applyFont="1" applyAlignment="1">
      <alignment horizontal="center" vertical="center"/>
      <protection/>
    </xf>
    <xf numFmtId="0" fontId="3" fillId="0" borderId="7" xfId="15" applyFont="1" applyBorder="1" applyAlignment="1">
      <alignment horizontal="left"/>
      <protection/>
    </xf>
    <xf numFmtId="0" fontId="3" fillId="0" borderId="8" xfId="15" applyFont="1" applyBorder="1" applyAlignment="1">
      <alignment horizontal="left"/>
      <protection/>
    </xf>
    <xf numFmtId="0" fontId="3" fillId="0" borderId="17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7" xfId="15" applyFont="1" applyBorder="1" applyAlignment="1">
      <alignment horizontal="left" vertical="center"/>
      <protection/>
    </xf>
    <xf numFmtId="0" fontId="3" fillId="0" borderId="8" xfId="15" applyFont="1" applyBorder="1" applyAlignment="1">
      <alignment horizontal="left" vertical="center"/>
      <protection/>
    </xf>
    <xf numFmtId="0" fontId="4" fillId="2" borderId="6" xfId="21" applyFill="1" applyBorder="1" applyAlignment="1" applyProtection="1">
      <alignment/>
      <protection hidden="1" locked="0"/>
    </xf>
    <xf numFmtId="0" fontId="2" fillId="0" borderId="7" xfId="22" applyFont="1" applyBorder="1" applyAlignment="1" applyProtection="1">
      <alignment/>
      <protection hidden="1" locked="0"/>
    </xf>
    <xf numFmtId="0" fontId="2" fillId="0" borderId="8" xfId="22" applyFont="1" applyBorder="1" applyAlignment="1" applyProtection="1">
      <alignment/>
      <protection hidden="1" locked="0"/>
    </xf>
    <xf numFmtId="14" fontId="2" fillId="2" borderId="24" xfId="22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22" applyFont="1" applyAlignment="1" applyProtection="1">
      <alignment horizontal="left"/>
      <protection hidden="1"/>
    </xf>
    <xf numFmtId="0" fontId="0" fillId="0" borderId="0" xfId="22" applyAlignment="1">
      <alignment/>
      <protection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9" fillId="0" borderId="0" xfId="22" applyFont="1" applyBorder="1" applyAlignment="1" applyProtection="1">
      <alignment horizontal="center" vertical="center" wrapText="1"/>
      <protection hidden="1"/>
    </xf>
    <xf numFmtId="0" fontId="3" fillId="0" borderId="0" xfId="22" applyFont="1" applyAlignment="1" applyProtection="1">
      <alignment horizontal="right" vertical="center"/>
      <protection hidden="1"/>
    </xf>
    <xf numFmtId="0" fontId="3" fillId="0" borderId="5" xfId="22" applyFont="1" applyBorder="1" applyAlignment="1" applyProtection="1">
      <alignment horizontal="right"/>
      <protection hidden="1"/>
    </xf>
    <xf numFmtId="49" fontId="2" fillId="2" borderId="6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8" xfId="22" applyNumberFormat="1" applyFont="1" applyBorder="1" applyAlignment="1" applyProtection="1">
      <alignment horizontal="center" vertical="center"/>
      <protection hidden="1" locked="0"/>
    </xf>
    <xf numFmtId="0" fontId="3" fillId="0" borderId="0" xfId="22" applyFont="1" applyAlignment="1" applyProtection="1">
      <alignment wrapText="1"/>
      <protection hidden="1"/>
    </xf>
    <xf numFmtId="0" fontId="1" fillId="0" borderId="0" xfId="22" applyFont="1" applyBorder="1" applyAlignment="1" applyProtection="1">
      <alignment horizontal="right" vertical="center" wrapText="1"/>
      <protection hidden="1"/>
    </xf>
    <xf numFmtId="0" fontId="1" fillId="0" borderId="5" xfId="22" applyFont="1" applyBorder="1" applyAlignment="1" applyProtection="1">
      <alignment horizontal="right" wrapText="1"/>
      <protection hidden="1"/>
    </xf>
    <xf numFmtId="49" fontId="2" fillId="2" borderId="6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8" xfId="15" applyNumberFormat="1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Alignment="1" applyProtection="1">
      <alignment horizontal="right" wrapText="1"/>
      <protection hidden="1"/>
    </xf>
    <xf numFmtId="0" fontId="2" fillId="2" borderId="6" xfId="22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>
      <alignment horizontal="left" vertical="center"/>
      <protection/>
    </xf>
    <xf numFmtId="0" fontId="3" fillId="0" borderId="8" xfId="22" applyFont="1" applyBorder="1" applyAlignment="1">
      <alignment horizontal="left" vertical="center"/>
      <protection/>
    </xf>
    <xf numFmtId="1" fontId="2" fillId="2" borderId="6" xfId="15" applyNumberFormat="1" applyFont="1" applyFill="1" applyBorder="1" applyAlignment="1" applyProtection="1">
      <alignment horizontal="center" vertical="center"/>
      <protection hidden="1" locked="0"/>
    </xf>
    <xf numFmtId="1" fontId="2" fillId="2" borderId="8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>
      <alignment horizontal="left" vertical="center"/>
      <protection/>
    </xf>
    <xf numFmtId="0" fontId="3" fillId="0" borderId="8" xfId="22" applyFont="1" applyBorder="1" applyAlignment="1">
      <alignment horizontal="left" vertical="center"/>
      <protection/>
    </xf>
    <xf numFmtId="0" fontId="2" fillId="2" borderId="6" xfId="15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Alignment="1" applyProtection="1">
      <alignment horizontal="right" vertical="center" wrapText="1"/>
      <protection hidden="1"/>
    </xf>
    <xf numFmtId="0" fontId="3" fillId="0" borderId="5" xfId="22" applyFont="1" applyBorder="1" applyAlignment="1" applyProtection="1">
      <alignment horizontal="right" wrapText="1"/>
      <protection hidden="1"/>
    </xf>
    <xf numFmtId="0" fontId="3" fillId="0" borderId="19" xfId="22" applyFont="1" applyBorder="1" applyAlignment="1" applyProtection="1">
      <alignment horizontal="center"/>
      <protection hidden="1"/>
    </xf>
    <xf numFmtId="0" fontId="2" fillId="0" borderId="7" xfId="15" applyFont="1" applyBorder="1" applyAlignment="1" applyProtection="1">
      <alignment horizontal="left" vertical="center"/>
      <protection hidden="1" locked="0"/>
    </xf>
    <xf numFmtId="49" fontId="2" fillId="2" borderId="6" xfId="22" applyNumberFormat="1" applyFont="1" applyFill="1" applyBorder="1" applyAlignment="1" applyProtection="1">
      <alignment horizontal="left" vertical="center"/>
      <protection hidden="1" locked="0"/>
    </xf>
    <xf numFmtId="49" fontId="2" fillId="0" borderId="7" xfId="22" applyNumberFormat="1" applyFont="1" applyBorder="1" applyAlignment="1" applyProtection="1">
      <alignment horizontal="left" vertical="center"/>
      <protection hidden="1" locked="0"/>
    </xf>
    <xf numFmtId="49" fontId="2" fillId="0" borderId="8" xfId="22" applyNumberFormat="1" applyFont="1" applyBorder="1" applyAlignment="1" applyProtection="1">
      <alignment horizontal="left" vertical="center"/>
      <protection hidden="1" locked="0"/>
    </xf>
    <xf numFmtId="49" fontId="2" fillId="2" borderId="6" xfId="15" applyNumberFormat="1" applyFont="1" applyFill="1" applyBorder="1" applyAlignment="1" applyProtection="1">
      <alignment horizontal="left" vertical="center"/>
      <protection hidden="1" locked="0"/>
    </xf>
    <xf numFmtId="49" fontId="2" fillId="0" borderId="8" xfId="15" applyNumberFormat="1" applyFont="1" applyBorder="1" applyAlignment="1" applyProtection="1">
      <alignment horizontal="left" vertical="center"/>
      <protection hidden="1" locked="0"/>
    </xf>
    <xf numFmtId="0" fontId="7" fillId="0" borderId="0" xfId="22" applyFont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5" xfId="22" applyFont="1" applyBorder="1" applyAlignment="1" applyProtection="1">
      <alignment horizontal="center" vertical="top"/>
      <protection hidden="1"/>
    </xf>
    <xf numFmtId="0" fontId="3" fillId="0" borderId="25" xfId="22" applyFont="1" applyBorder="1" applyAlignment="1">
      <alignment horizontal="center"/>
      <protection/>
    </xf>
    <xf numFmtId="0" fontId="3" fillId="0" borderId="25" xfId="22" applyFont="1" applyBorder="1" applyAlignment="1">
      <alignment/>
      <protection/>
    </xf>
    <xf numFmtId="0" fontId="3" fillId="0" borderId="0" xfId="22" applyFont="1" applyFill="1" applyBorder="1" applyAlignment="1" applyProtection="1">
      <alignment horizontal="center" vertical="top"/>
      <protection hidden="1"/>
    </xf>
    <xf numFmtId="0" fontId="3" fillId="0" borderId="0" xfId="22" applyFont="1" applyFill="1" applyBorder="1" applyAlignment="1" applyProtection="1">
      <alignment horizontal="center"/>
      <protection hidden="1"/>
    </xf>
    <xf numFmtId="49" fontId="4" fillId="2" borderId="6" xfId="21" applyNumberFormat="1" applyFill="1" applyBorder="1" applyAlignment="1" applyProtection="1">
      <alignment horizontal="left" vertical="center"/>
      <protection hidden="1" locked="0"/>
    </xf>
    <xf numFmtId="49" fontId="2" fillId="0" borderId="7" xfId="15" applyNumberFormat="1" applyFont="1" applyBorder="1" applyAlignment="1" applyProtection="1">
      <alignment horizontal="left" vertical="center"/>
      <protection hidden="1" locked="0"/>
    </xf>
    <xf numFmtId="0" fontId="2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12" fillId="3" borderId="22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7" fillId="0" borderId="0" xfId="15" applyFont="1" applyAlignment="1">
      <alignment horizontal="center"/>
      <protection/>
    </xf>
    <xf numFmtId="0" fontId="6" fillId="0" borderId="35" xfId="15" applyFont="1" applyBorder="1" applyAlignment="1">
      <alignment horizontal="left" wrapText="1"/>
      <protection/>
    </xf>
    <xf numFmtId="0" fontId="0" fillId="0" borderId="36" xfId="0" applyFont="1" applyBorder="1" applyAlignment="1">
      <alignment horizontal="left" wrapText="1"/>
    </xf>
    <xf numFmtId="14" fontId="6" fillId="2" borderId="33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24" xfId="15" applyFont="1" applyBorder="1" applyAlignment="1">
      <alignment horizontal="center"/>
      <protection/>
    </xf>
    <xf numFmtId="0" fontId="2" fillId="3" borderId="37" xfId="0" applyFont="1" applyFill="1" applyBorder="1" applyAlignment="1" applyProtection="1">
      <alignment horizontal="center" vertical="center" wrapText="1"/>
      <protection hidden="1"/>
    </xf>
    <xf numFmtId="0" fontId="2" fillId="3" borderId="38" xfId="0" applyFont="1" applyFill="1" applyBorder="1" applyAlignment="1" applyProtection="1">
      <alignment horizontal="center" vertical="center" wrapText="1"/>
      <protection hidden="1"/>
    </xf>
    <xf numFmtId="0" fontId="2" fillId="3" borderId="39" xfId="0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Border="1" applyAlignment="1">
      <alignment horizontal="center" vertical="top"/>
      <protection/>
    </xf>
    <xf numFmtId="0" fontId="6" fillId="0" borderId="5" xfId="15" applyFont="1" applyBorder="1" applyAlignment="1">
      <alignment/>
      <protection/>
    </xf>
    <xf numFmtId="0" fontId="0" fillId="0" borderId="24" xfId="15" applyFont="1" applyBorder="1" applyAlignment="1">
      <alignment/>
      <protection/>
    </xf>
    <xf numFmtId="0" fontId="0" fillId="0" borderId="0" xfId="15" applyFont="1" applyAlignment="1">
      <alignment/>
      <protection/>
    </xf>
    <xf numFmtId="0" fontId="2" fillId="4" borderId="24" xfId="0" applyFont="1" applyFill="1" applyBorder="1" applyAlignment="1">
      <alignment horizontal="left" vertical="center" wrapText="1"/>
    </xf>
    <xf numFmtId="14" fontId="6" fillId="2" borderId="4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24" xfId="15" applyFont="1" applyBorder="1" applyAlignment="1">
      <alignment vertical="center"/>
      <protection/>
    </xf>
    <xf numFmtId="0" fontId="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6" fillId="0" borderId="0" xfId="15" applyFont="1" applyBorder="1" applyAlignment="1">
      <alignment horizontal="center" wrapText="1"/>
      <protection/>
    </xf>
    <xf numFmtId="0" fontId="0" fillId="0" borderId="41" xfId="15" applyFont="1" applyBorder="1" applyAlignment="1">
      <alignment vertical="center"/>
      <protection/>
    </xf>
    <xf numFmtId="0" fontId="2" fillId="5" borderId="33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0" fillId="5" borderId="34" xfId="0" applyFont="1" applyFill="1" applyBorder="1" applyAlignment="1">
      <alignment vertical="center" wrapText="1"/>
    </xf>
    <xf numFmtId="0" fontId="0" fillId="5" borderId="2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0" xfId="15" applyFont="1" applyFill="1" applyBorder="1" applyAlignment="1">
      <alignment horizontal="center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0" xfId="15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14" fontId="6" fillId="2" borderId="33" xfId="15" applyNumberFormat="1" applyFont="1" applyFill="1" applyBorder="1" applyAlignment="1" applyProtection="1">
      <alignment horizontal="center" vertical="center"/>
      <protection hidden="1" locked="0"/>
    </xf>
    <xf numFmtId="0" fontId="6" fillId="0" borderId="7" xfId="15" applyFont="1" applyBorder="1" applyAlignment="1">
      <alignment horizontal="center" vertical="top"/>
      <protection/>
    </xf>
    <xf numFmtId="0" fontId="6" fillId="0" borderId="8" xfId="15" applyFont="1" applyBorder="1" applyAlignment="1">
      <alignment horizontal="center" vertical="top"/>
      <protection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/>
    </xf>
    <xf numFmtId="0" fontId="7" fillId="0" borderId="0" xfId="15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left" vertical="center" wrapText="1"/>
    </xf>
    <xf numFmtId="0" fontId="6" fillId="0" borderId="0" xfId="15" applyFont="1" applyFill="1" applyBorder="1" applyAlignment="1" applyProtection="1">
      <alignment horizontal="center" vertical="center"/>
      <protection hidden="1"/>
    </xf>
    <xf numFmtId="14" fontId="6" fillId="2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Border="1" applyAlignment="1">
      <alignment vertical="center"/>
      <protection/>
    </xf>
    <xf numFmtId="49" fontId="12" fillId="3" borderId="2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3">
    <dxf>
      <font>
        <b/>
        <i val="0"/>
        <color rgb="FFFF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otelimaestral@hotelimaestral.com" TargetMode="External" /><Relationship Id="rId2" Type="http://schemas.openxmlformats.org/officeDocument/2006/relationships/hyperlink" Target="http://www.hotelimaestral/" TargetMode="External" /><Relationship Id="rId3" Type="http://schemas.openxmlformats.org/officeDocument/2006/relationships/hyperlink" Target="mailto:hotelimaestral@hotelimaestral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 hidden="1">
      <c r="A1" s="16" t="s">
        <v>359</v>
      </c>
      <c r="B1" s="17" t="s">
        <v>360</v>
      </c>
      <c r="C1" s="16"/>
      <c r="D1" s="16" t="s">
        <v>361</v>
      </c>
      <c r="E1" s="16" t="s">
        <v>362</v>
      </c>
      <c r="F1" s="16" t="s">
        <v>179</v>
      </c>
      <c r="G1" s="16" t="s">
        <v>363</v>
      </c>
      <c r="H1" s="21" t="s">
        <v>337</v>
      </c>
      <c r="I1" s="16" t="s">
        <v>331</v>
      </c>
      <c r="J1" s="34" t="s">
        <v>338</v>
      </c>
      <c r="K1" s="34" t="s">
        <v>339</v>
      </c>
      <c r="L1" s="34" t="s">
        <v>340</v>
      </c>
      <c r="M1" s="34" t="s">
        <v>341</v>
      </c>
      <c r="N1" s="34" t="s">
        <v>342</v>
      </c>
      <c r="O1" s="34" t="s">
        <v>343</v>
      </c>
      <c r="P1" s="34" t="s">
        <v>344</v>
      </c>
      <c r="Q1" s="34" t="s">
        <v>345</v>
      </c>
      <c r="R1" s="34" t="s">
        <v>346</v>
      </c>
      <c r="S1" s="34" t="s">
        <v>347</v>
      </c>
      <c r="T1" s="34" t="s">
        <v>348</v>
      </c>
      <c r="U1" s="34" t="s">
        <v>34</v>
      </c>
      <c r="V1" s="34" t="s">
        <v>35</v>
      </c>
      <c r="W1" s="34" t="s">
        <v>36</v>
      </c>
      <c r="X1" s="34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8" t="s">
        <v>162</v>
      </c>
    </row>
    <row r="2" spans="1:33" ht="12.75" hidden="1">
      <c r="A2" s="10" t="s">
        <v>314</v>
      </c>
      <c r="B2" s="20" t="e">
        <f>#REF!</f>
        <v>#REF!</v>
      </c>
      <c r="D2" t="s">
        <v>327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262</v>
      </c>
      <c r="B3" s="20" t="s">
        <v>263</v>
      </c>
      <c r="D3" t="s">
        <v>327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264</v>
      </c>
      <c r="B4" s="20" t="s">
        <v>326</v>
      </c>
      <c r="D4" t="s">
        <v>327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358</v>
      </c>
      <c r="B5" s="8">
        <f>IF(ISNUMBER(#REF!),#REF!,0)</f>
        <v>0</v>
      </c>
      <c r="D5" t="s">
        <v>327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349</v>
      </c>
      <c r="B6" s="8" t="e">
        <f>#REF!</f>
        <v>#REF!</v>
      </c>
      <c r="D6" t="s">
        <v>327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350</v>
      </c>
      <c r="B7" s="8" t="e">
        <f>#REF!</f>
        <v>#REF!</v>
      </c>
      <c r="D7" t="s">
        <v>327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8" t="e">
        <f>#REF!</f>
        <v>#REF!</v>
      </c>
      <c r="D8" t="s">
        <v>327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351</v>
      </c>
      <c r="B9" s="8" t="e">
        <f>TRIM(#REF!)</f>
        <v>#REF!</v>
      </c>
      <c r="D9" t="s">
        <v>327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352</v>
      </c>
      <c r="B10" s="8" t="e">
        <f>TEXT(#REF!,"00000")</f>
        <v>#REF!</v>
      </c>
      <c r="D10" t="s">
        <v>327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353</v>
      </c>
      <c r="B11" s="8" t="e">
        <f>TRIM(#REF!)</f>
        <v>#REF!</v>
      </c>
      <c r="D11" t="s">
        <v>327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354</v>
      </c>
      <c r="B12" s="8" t="e">
        <f>TRIM(#REF!)</f>
        <v>#REF!</v>
      </c>
      <c r="D12" t="s">
        <v>327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195</v>
      </c>
      <c r="B13" s="8" t="e">
        <f>TRIM(#REF!)</f>
        <v>#REF!</v>
      </c>
      <c r="D13" t="s">
        <v>327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196</v>
      </c>
      <c r="B14" s="8" t="e">
        <f>TRIM(#REF!)</f>
        <v>#REF!</v>
      </c>
      <c r="D14" t="s">
        <v>327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357</v>
      </c>
      <c r="B15" s="8" t="e">
        <f>TEXT(#REF!,"00")</f>
        <v>#REF!</v>
      </c>
      <c r="D15" t="s">
        <v>327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356</v>
      </c>
      <c r="B16" s="8" t="e">
        <f>TEXT(#REF!,"000")</f>
        <v>#REF!</v>
      </c>
      <c r="D16" t="s">
        <v>327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355</v>
      </c>
      <c r="B17" s="8" t="e">
        <f>#REF!</f>
        <v>#REF!</v>
      </c>
      <c r="D17" t="s">
        <v>327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197</v>
      </c>
      <c r="B18" s="8" t="e">
        <f>IF(#REF!&lt;&gt;"",#REF!,"")</f>
        <v>#REF!</v>
      </c>
      <c r="D18" t="s">
        <v>327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198</v>
      </c>
      <c r="B19" s="8" t="e">
        <f>IF(#REF!&lt;&gt;"",#REF!,"")</f>
        <v>#REF!</v>
      </c>
      <c r="D19" t="s">
        <v>327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199</v>
      </c>
      <c r="B20" s="8" t="e">
        <f>#REF!</f>
        <v>#REF!</v>
      </c>
      <c r="D20" t="s">
        <v>327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200</v>
      </c>
      <c r="B21" s="8" t="e">
        <f>#REF!</f>
        <v>#REF!</v>
      </c>
      <c r="D21" t="s">
        <v>327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201</v>
      </c>
      <c r="B22" s="8" t="e">
        <f>#REF!</f>
        <v>#REF!</v>
      </c>
      <c r="D22" t="s">
        <v>327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202</v>
      </c>
      <c r="B23" s="8" t="e">
        <f>#REF!</f>
        <v>#REF!</v>
      </c>
      <c r="D23" t="s">
        <v>327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203</v>
      </c>
      <c r="B24" s="8" t="e">
        <f>#REF!</f>
        <v>#REF!</v>
      </c>
      <c r="D24" t="s">
        <v>327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204</v>
      </c>
      <c r="B25" s="8" t="e">
        <f>#REF!</f>
        <v>#REF!</v>
      </c>
      <c r="D25" t="s">
        <v>327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205</v>
      </c>
      <c r="B26" s="8" t="e">
        <f>#REF!</f>
        <v>#REF!</v>
      </c>
      <c r="D26" t="s">
        <v>327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206</v>
      </c>
      <c r="B27" s="8" t="e">
        <f>#REF!</f>
        <v>#REF!</v>
      </c>
      <c r="D27" t="s">
        <v>327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207</v>
      </c>
      <c r="B28" s="8" t="e">
        <f>#REF!</f>
        <v>#REF!</v>
      </c>
      <c r="D28" t="s">
        <v>327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208</v>
      </c>
      <c r="B29" s="8" t="e">
        <f>#REF!</f>
        <v>#REF!</v>
      </c>
      <c r="D29" t="s">
        <v>327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209</v>
      </c>
      <c r="B30" s="8" t="e">
        <f>#REF!</f>
        <v>#REF!</v>
      </c>
      <c r="D30" t="s">
        <v>327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210</v>
      </c>
      <c r="B31" s="8" t="e">
        <f>#REF!</f>
        <v>#REF!</v>
      </c>
      <c r="D31" t="s">
        <v>327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211</v>
      </c>
      <c r="B32" s="8" t="e">
        <f>#REF!</f>
        <v>#REF!</v>
      </c>
      <c r="D32" t="s">
        <v>327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212</v>
      </c>
      <c r="B33" s="8" t="e">
        <f>#REF!</f>
        <v>#REF!</v>
      </c>
      <c r="D33" t="s">
        <v>327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213</v>
      </c>
      <c r="B34" s="8" t="e">
        <f>#REF!</f>
        <v>#REF!</v>
      </c>
      <c r="D34" t="s">
        <v>327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214</v>
      </c>
      <c r="B35" s="8" t="e">
        <f>#REF!</f>
        <v>#REF!</v>
      </c>
      <c r="D35" t="s">
        <v>327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215</v>
      </c>
      <c r="B36" s="8" t="e">
        <f>#REF!</f>
        <v>#REF!</v>
      </c>
      <c r="D36" t="s">
        <v>327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216</v>
      </c>
      <c r="B37" s="8" t="e">
        <f>#REF!</f>
        <v>#REF!</v>
      </c>
      <c r="D37" t="s">
        <v>327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217</v>
      </c>
      <c r="B38" s="8" t="e">
        <f>TRIM(#REF!)</f>
        <v>#REF!</v>
      </c>
      <c r="D38" t="s">
        <v>327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218</v>
      </c>
      <c r="B39" s="8" t="e">
        <f>TRIM(#REF!)</f>
        <v>#REF!</v>
      </c>
      <c r="D39" t="s">
        <v>327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219</v>
      </c>
      <c r="B40" s="8" t="e">
        <f>TRIM(#REF!)</f>
        <v>#REF!</v>
      </c>
      <c r="D40" t="s">
        <v>327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220</v>
      </c>
      <c r="B41" s="8" t="e">
        <f>TRIM(#REF!)</f>
        <v>#REF!</v>
      </c>
      <c r="D41" t="s">
        <v>327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8" t="e">
        <f>TRIM(#REF!)</f>
        <v>#REF!</v>
      </c>
      <c r="D42" t="s">
        <v>327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8" t="e">
        <f>TRIM(#REF!)</f>
        <v>#REF!</v>
      </c>
      <c r="D43" t="s">
        <v>327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375</v>
      </c>
      <c r="B44" s="8" t="e">
        <f>IF(#REF!&lt;&gt;"",TEXT(#REF!,"YYYYMMDD"),"")</f>
        <v>#REF!</v>
      </c>
      <c r="D44" t="s">
        <v>327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376</v>
      </c>
      <c r="B45" s="8" t="e">
        <f>IF(#REF!&lt;&gt;"",TEXT(#REF!,"YYYYMMDD"),"")</f>
        <v>#REF!</v>
      </c>
      <c r="D45" t="s">
        <v>327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365</v>
      </c>
      <c r="B46" s="8" t="e">
        <f>IF(#REF!&lt;&gt;0,"DA","NE")</f>
        <v>#REF!</v>
      </c>
      <c r="D46" t="s">
        <v>327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364</v>
      </c>
      <c r="B47" s="8" t="e">
        <f>IF(#REF!&lt;&gt;0,"DA","NE")</f>
        <v>#REF!</v>
      </c>
      <c r="D47" t="s">
        <v>327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366</v>
      </c>
      <c r="B48" s="8" t="e">
        <f>#REF!</f>
        <v>#REF!</v>
      </c>
      <c r="D48" t="s">
        <v>327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368</v>
      </c>
      <c r="B49" s="8" t="e">
        <f>IF(#REF!&lt;&gt;0,"DA","NE")</f>
        <v>#REF!</v>
      </c>
      <c r="D49" t="s">
        <v>327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367</v>
      </c>
      <c r="B50" s="8" t="e">
        <f>IF(#REF!&lt;&gt;0,"DA","NE")</f>
        <v>#REF!</v>
      </c>
      <c r="D50" t="s">
        <v>327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369</v>
      </c>
      <c r="B51" s="8" t="e">
        <f>#REF!</f>
        <v>#REF!</v>
      </c>
      <c r="D51" t="s">
        <v>327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221</v>
      </c>
      <c r="B52" s="8" t="e">
        <f>IF(#REF!&gt;0,"DA","NE")</f>
        <v>#REF!</v>
      </c>
      <c r="D52" t="s">
        <v>327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8" t="e">
        <f>#REF!</f>
        <v>#REF!</v>
      </c>
      <c r="D53" t="s">
        <v>327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8" t="e">
        <f>#REF!</f>
        <v>#REF!</v>
      </c>
      <c r="D54" t="s">
        <v>327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8" t="e">
        <f>#REF!</f>
        <v>#REF!</v>
      </c>
      <c r="D55" t="s">
        <v>327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8" t="e">
        <f>#REF!</f>
        <v>#REF!</v>
      </c>
      <c r="D56" t="s">
        <v>327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8" t="e">
        <f>#REF!</f>
        <v>#REF!</v>
      </c>
      <c r="D57" t="s">
        <v>327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222</v>
      </c>
      <c r="B58" s="8" t="e">
        <f>IF(#REF!&gt;0,"NE","DA")</f>
        <v>#REF!</v>
      </c>
      <c r="D58" t="s">
        <v>327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163</v>
      </c>
      <c r="B59" s="19" t="e">
        <f>SUM(H2:H386)+SUM(#REF!)+SUM(AC2:AC101)</f>
        <v>#REF!</v>
      </c>
      <c r="D59" t="s">
        <v>327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8" t="e">
        <f>IF(#REF!&lt;&gt;"",LOOKUP(#REF!,#REF!,#REF!),"")</f>
        <v>#REF!</v>
      </c>
      <c r="D60" t="s">
        <v>327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232</v>
      </c>
      <c r="B61" s="19" t="e">
        <f>SUM(AC2:AC101)</f>
        <v>#REF!</v>
      </c>
      <c r="D61" t="s">
        <v>327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327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327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327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327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327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327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327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327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327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327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327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327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327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327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327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327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327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327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327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327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327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327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327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327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327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327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327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327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327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327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327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327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327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327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327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327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327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327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327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327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 hidden="1">
      <c r="D103" t="s">
        <v>327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 hidden="1">
      <c r="D104" t="s">
        <v>327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 hidden="1">
      <c r="D105" t="s">
        <v>327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 hidden="1">
      <c r="D106" t="s">
        <v>327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 hidden="1">
      <c r="D107" t="s">
        <v>327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 hidden="1">
      <c r="D108" t="s">
        <v>302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 hidden="1">
      <c r="D109" t="s">
        <v>302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 hidden="1">
      <c r="D110" t="s">
        <v>302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 hidden="1">
      <c r="D111" t="s">
        <v>302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 hidden="1">
      <c r="D112" t="s">
        <v>302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 hidden="1">
      <c r="D113" t="s">
        <v>302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 hidden="1">
      <c r="D114" t="s">
        <v>302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 hidden="1">
      <c r="D115" t="s">
        <v>302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 hidden="1">
      <c r="D116" t="s">
        <v>302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 hidden="1">
      <c r="D117" t="s">
        <v>302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 hidden="1">
      <c r="D118" t="s">
        <v>302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 hidden="1">
      <c r="D119" t="s">
        <v>302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 hidden="1">
      <c r="D120" t="s">
        <v>302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 hidden="1">
      <c r="D121" t="s">
        <v>302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 hidden="1">
      <c r="D122" t="s">
        <v>302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 hidden="1">
      <c r="D123" t="s">
        <v>302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 hidden="1">
      <c r="D124" t="s">
        <v>302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 hidden="1">
      <c r="D125" t="s">
        <v>302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 hidden="1">
      <c r="D126" t="s">
        <v>302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 hidden="1">
      <c r="D127" t="s">
        <v>302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 hidden="1">
      <c r="D128" t="s">
        <v>302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 hidden="1">
      <c r="D129" t="s">
        <v>302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 hidden="1">
      <c r="D130" t="s">
        <v>302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 hidden="1">
      <c r="D131" t="s">
        <v>302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 hidden="1">
      <c r="D132" t="s">
        <v>302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 hidden="1">
      <c r="D133" t="s">
        <v>302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 hidden="1">
      <c r="D134" t="s">
        <v>302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 hidden="1">
      <c r="D135" t="s">
        <v>302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 hidden="1">
      <c r="D136" t="s">
        <v>302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 hidden="1">
      <c r="D137" t="s">
        <v>302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 hidden="1">
      <c r="D138" t="s">
        <v>302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 hidden="1">
      <c r="D139" t="s">
        <v>302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 hidden="1">
      <c r="D140" t="s">
        <v>302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 hidden="1">
      <c r="D141" t="s">
        <v>302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 hidden="1">
      <c r="D142" t="s">
        <v>302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 hidden="1">
      <c r="D143" t="s">
        <v>302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 hidden="1">
      <c r="D144" t="s">
        <v>302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 hidden="1">
      <c r="D145" t="s">
        <v>302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 hidden="1">
      <c r="D146" t="s">
        <v>302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 hidden="1">
      <c r="D147" t="s">
        <v>302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 hidden="1">
      <c r="D148" t="s">
        <v>302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 hidden="1">
      <c r="D149" t="s">
        <v>302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 hidden="1">
      <c r="D150" t="s">
        <v>302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 hidden="1">
      <c r="D151" t="s">
        <v>302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 hidden="1">
      <c r="D152" t="s">
        <v>302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 hidden="1">
      <c r="D153" t="s">
        <v>302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 hidden="1">
      <c r="D154" t="s">
        <v>328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 hidden="1">
      <c r="D155" t="s">
        <v>328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 hidden="1">
      <c r="D156" t="s">
        <v>328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 hidden="1">
      <c r="D157" t="s">
        <v>328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 hidden="1">
      <c r="D158" t="s">
        <v>328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 hidden="1">
      <c r="D159" t="s">
        <v>328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 hidden="1">
      <c r="D160" t="s">
        <v>328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 hidden="1">
      <c r="D161" t="s">
        <v>328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 hidden="1">
      <c r="D162" t="s">
        <v>328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 hidden="1">
      <c r="D163" t="s">
        <v>328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 hidden="1">
      <c r="D164" t="s">
        <v>328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 hidden="1">
      <c r="D165" t="s">
        <v>328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 hidden="1">
      <c r="D166" t="s">
        <v>328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 hidden="1">
      <c r="D167" t="s">
        <v>328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 hidden="1">
      <c r="D168" t="s">
        <v>328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 hidden="1">
      <c r="D169" t="s">
        <v>328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 hidden="1">
      <c r="D170" t="s">
        <v>328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 hidden="1">
      <c r="D171" t="s">
        <v>328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 hidden="1">
      <c r="D172" t="s">
        <v>328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 hidden="1">
      <c r="D173" t="s">
        <v>328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 hidden="1">
      <c r="D174" t="s">
        <v>328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 hidden="1">
      <c r="D175" t="s">
        <v>328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 hidden="1">
      <c r="D176" t="s">
        <v>328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 hidden="1">
      <c r="D177" t="s">
        <v>328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 hidden="1">
      <c r="D178" t="s">
        <v>328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 hidden="1">
      <c r="D179" t="s">
        <v>328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 hidden="1">
      <c r="D180" t="s">
        <v>328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 hidden="1">
      <c r="D181" t="s">
        <v>328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 hidden="1">
      <c r="D182" t="s">
        <v>328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 hidden="1">
      <c r="D183" t="s">
        <v>328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 hidden="1">
      <c r="D184" t="s">
        <v>328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 hidden="1">
      <c r="D185" t="s">
        <v>328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 hidden="1">
      <c r="D186" t="s">
        <v>328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 hidden="1">
      <c r="D187" t="s">
        <v>328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 hidden="1">
      <c r="D188" t="s">
        <v>328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 hidden="1">
      <c r="D189" t="s">
        <v>328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 hidden="1">
      <c r="D190" t="s">
        <v>328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 hidden="1">
      <c r="D191" t="s">
        <v>328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 hidden="1">
      <c r="D192" t="s">
        <v>328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 hidden="1">
      <c r="D193" t="s">
        <v>328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 hidden="1">
      <c r="D194" t="s">
        <v>328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 hidden="1">
      <c r="D195" t="s">
        <v>328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 hidden="1">
      <c r="D196" t="s">
        <v>328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 hidden="1">
      <c r="D197" t="s">
        <v>328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 hidden="1">
      <c r="D198" t="s">
        <v>328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 hidden="1">
      <c r="D199" t="s">
        <v>328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 hidden="1">
      <c r="D200" t="s">
        <v>328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 hidden="1">
      <c r="D201" t="s">
        <v>328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 hidden="1">
      <c r="D202" t="s">
        <v>328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 hidden="1">
      <c r="D203" t="s">
        <v>328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 hidden="1">
      <c r="D204" t="s">
        <v>328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 hidden="1">
      <c r="D205" t="s">
        <v>328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 hidden="1">
      <c r="D206" t="s">
        <v>328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 hidden="1">
      <c r="D207" t="s">
        <v>328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 hidden="1">
      <c r="D208" t="s">
        <v>328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 hidden="1">
      <c r="D209" t="s">
        <v>328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 hidden="1">
      <c r="D210" t="s">
        <v>328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 hidden="1">
      <c r="D211" t="s">
        <v>328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 hidden="1">
      <c r="D212" t="s">
        <v>328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 hidden="1">
      <c r="D213" t="s">
        <v>328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 hidden="1">
      <c r="D214" t="s">
        <v>328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 hidden="1">
      <c r="D215" t="s">
        <v>328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 hidden="1">
      <c r="D216" t="s">
        <v>328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 hidden="1">
      <c r="D217" t="s">
        <v>328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 hidden="1">
      <c r="D218" t="s">
        <v>328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 hidden="1">
      <c r="D219" t="s">
        <v>328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 hidden="1">
      <c r="D220" t="s">
        <v>328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 hidden="1">
      <c r="D221" t="s">
        <v>328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 hidden="1">
      <c r="D222" t="s">
        <v>328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 hidden="1">
      <c r="D223" t="s">
        <v>328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 hidden="1">
      <c r="D224" t="s">
        <v>328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 hidden="1">
      <c r="D225" t="s">
        <v>328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 hidden="1">
      <c r="D226" t="s">
        <v>328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 hidden="1">
      <c r="D227" t="s">
        <v>328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 hidden="1">
      <c r="D228" t="s">
        <v>328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 hidden="1">
      <c r="D229" t="s">
        <v>328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 hidden="1">
      <c r="D230" t="s">
        <v>328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 hidden="1">
      <c r="D231" t="s">
        <v>328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 hidden="1">
      <c r="D232" t="s">
        <v>328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 hidden="1">
      <c r="D233" t="s">
        <v>328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 hidden="1">
      <c r="D234" t="s">
        <v>328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 hidden="1">
      <c r="D235" t="s">
        <v>328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 hidden="1">
      <c r="D236" t="s">
        <v>328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 hidden="1">
      <c r="D237" t="s">
        <v>328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 hidden="1">
      <c r="D238" t="s">
        <v>328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 hidden="1">
      <c r="D239" t="s">
        <v>328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 hidden="1">
      <c r="D240" t="s">
        <v>328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 hidden="1">
      <c r="D241" t="s">
        <v>328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 hidden="1">
      <c r="D242" t="s">
        <v>328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 hidden="1">
      <c r="D243" t="s">
        <v>328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 hidden="1">
      <c r="D244" t="s">
        <v>328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 hidden="1">
      <c r="D245" t="s">
        <v>328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 hidden="1">
      <c r="D246" t="s">
        <v>328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 hidden="1">
      <c r="D247" t="s">
        <v>328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 hidden="1">
      <c r="D248" t="s">
        <v>328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 hidden="1">
      <c r="D249" t="s">
        <v>328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 hidden="1">
      <c r="D250" t="s">
        <v>328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 hidden="1">
      <c r="D251" t="s">
        <v>328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 hidden="1">
      <c r="D252" t="s">
        <v>328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 hidden="1">
      <c r="D253" t="s">
        <v>328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 hidden="1">
      <c r="D254" t="s">
        <v>328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 hidden="1">
      <c r="D255" t="s">
        <v>328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 hidden="1">
      <c r="D256" t="s">
        <v>328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 hidden="1">
      <c r="D257" t="s">
        <v>328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 hidden="1">
      <c r="D258" t="s">
        <v>328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 hidden="1">
      <c r="D259" t="s">
        <v>328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 hidden="1">
      <c r="D260" t="s">
        <v>328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 hidden="1">
      <c r="D261" t="s">
        <v>328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 hidden="1">
      <c r="D262" t="s">
        <v>328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 hidden="1">
      <c r="D263" t="s">
        <v>328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 hidden="1">
      <c r="D264" t="s">
        <v>328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 hidden="1">
      <c r="D265" t="s">
        <v>328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 hidden="1">
      <c r="D266" t="s">
        <v>328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 hidden="1">
      <c r="D267" t="s">
        <v>328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 hidden="1">
      <c r="D268" t="s">
        <v>328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 hidden="1">
      <c r="D269" t="s">
        <v>328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 hidden="1">
      <c r="D270" t="s">
        <v>328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 hidden="1">
      <c r="D271" t="s">
        <v>328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 hidden="1">
      <c r="D272" t="s">
        <v>328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 hidden="1">
      <c r="D273" t="s">
        <v>328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 hidden="1">
      <c r="D274" t="s">
        <v>328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 hidden="1">
      <c r="D275" t="s">
        <v>328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 hidden="1">
      <c r="D276" t="s">
        <v>328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 hidden="1">
      <c r="D277" t="s">
        <v>328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 hidden="1">
      <c r="D278" t="s">
        <v>328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 hidden="1">
      <c r="D279" t="s">
        <v>329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 hidden="1">
      <c r="D280" t="s">
        <v>329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 hidden="1">
      <c r="D281" t="s">
        <v>329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 hidden="1">
      <c r="D282" t="s">
        <v>329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 hidden="1">
      <c r="D283" t="s">
        <v>329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 hidden="1">
      <c r="D284" t="s">
        <v>329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 hidden="1">
      <c r="D285" t="s">
        <v>329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 hidden="1">
      <c r="D286" t="s">
        <v>329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 hidden="1">
      <c r="D287" t="s">
        <v>329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 hidden="1">
      <c r="D288" t="s">
        <v>329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 hidden="1">
      <c r="D289" t="s">
        <v>329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 hidden="1">
      <c r="D290" t="s">
        <v>329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 hidden="1">
      <c r="D291" t="s">
        <v>329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 hidden="1">
      <c r="D292" t="s">
        <v>329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 hidden="1">
      <c r="D293" t="s">
        <v>329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 hidden="1">
      <c r="D294" t="s">
        <v>329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 hidden="1">
      <c r="D295" t="s">
        <v>329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 hidden="1">
      <c r="D296" t="s">
        <v>329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 hidden="1">
      <c r="D297" t="s">
        <v>329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 hidden="1">
      <c r="D298" t="s">
        <v>329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 hidden="1">
      <c r="D299" t="s">
        <v>329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 hidden="1">
      <c r="D300" t="s">
        <v>329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 hidden="1">
      <c r="D301" t="s">
        <v>329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 hidden="1">
      <c r="D302" t="s">
        <v>329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 hidden="1">
      <c r="D303" t="s">
        <v>329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 hidden="1">
      <c r="D304" t="s">
        <v>329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 hidden="1">
      <c r="D305" t="s">
        <v>329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 hidden="1">
      <c r="D306" t="s">
        <v>329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 hidden="1">
      <c r="D307" t="s">
        <v>329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 hidden="1">
      <c r="D308" t="s">
        <v>329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 hidden="1">
      <c r="D309" t="s">
        <v>329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 hidden="1">
      <c r="D310" t="s">
        <v>329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 hidden="1">
      <c r="D311" t="s">
        <v>329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 hidden="1">
      <c r="D312" t="s">
        <v>329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 hidden="1">
      <c r="D313" t="s">
        <v>329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 hidden="1">
      <c r="D314" t="s">
        <v>329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 hidden="1">
      <c r="D315" t="s">
        <v>329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 hidden="1">
      <c r="D316" t="s">
        <v>329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 hidden="1">
      <c r="D317" t="s">
        <v>329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 hidden="1">
      <c r="D318" t="s">
        <v>329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 hidden="1">
      <c r="D319" t="s">
        <v>329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 hidden="1">
      <c r="D320" t="s">
        <v>329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 hidden="1">
      <c r="D321" t="s">
        <v>329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 hidden="1">
      <c r="D322" t="s">
        <v>329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 hidden="1">
      <c r="D323" t="s">
        <v>330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 hidden="1">
      <c r="D324" t="s">
        <v>330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 hidden="1">
      <c r="D325" t="s">
        <v>330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 hidden="1">
      <c r="D326" t="s">
        <v>330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 hidden="1">
      <c r="D327" t="s">
        <v>330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 hidden="1">
      <c r="D328" t="s">
        <v>330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 hidden="1">
      <c r="D329" t="s">
        <v>330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 hidden="1">
      <c r="D330" t="s">
        <v>330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 hidden="1">
      <c r="D331" t="s">
        <v>330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 hidden="1">
      <c r="D332" t="s">
        <v>330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 hidden="1">
      <c r="D333" t="s">
        <v>330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 hidden="1">
      <c r="D334" t="s">
        <v>330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 hidden="1">
      <c r="D335" t="s">
        <v>330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 hidden="1">
      <c r="D336" t="s">
        <v>330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 hidden="1">
      <c r="D337" t="s">
        <v>330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 hidden="1">
      <c r="D338" t="s">
        <v>330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 hidden="1">
      <c r="D339" t="s">
        <v>330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 hidden="1">
      <c r="D340" t="s">
        <v>330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 hidden="1">
      <c r="D341" t="s">
        <v>330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 hidden="1">
      <c r="D342" t="s">
        <v>330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 hidden="1">
      <c r="D343" t="s">
        <v>330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 hidden="1">
      <c r="D344" t="s">
        <v>330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 hidden="1">
      <c r="D345" t="s">
        <v>330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 hidden="1">
      <c r="D346" t="s">
        <v>330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 hidden="1">
      <c r="D347" t="s">
        <v>330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 hidden="1">
      <c r="D348" t="s">
        <v>330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 hidden="1">
      <c r="D349" t="s">
        <v>330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 hidden="1">
      <c r="D350" t="s">
        <v>330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 hidden="1">
      <c r="D351" t="s">
        <v>330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 hidden="1">
      <c r="D352" t="s">
        <v>330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 hidden="1">
      <c r="D353" t="s">
        <v>330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 hidden="1">
      <c r="D354" t="s">
        <v>330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 hidden="1">
      <c r="D355" t="s">
        <v>330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 hidden="1">
      <c r="D356" t="s">
        <v>330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 hidden="1">
      <c r="D357" t="s">
        <v>330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 hidden="1">
      <c r="D358" t="s">
        <v>330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 hidden="1">
      <c r="D359" t="s">
        <v>330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 hidden="1">
      <c r="D360" t="s">
        <v>330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 hidden="1">
      <c r="D361" t="s">
        <v>330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 hidden="1">
      <c r="D362" t="s">
        <v>330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 hidden="1">
      <c r="D363" t="s">
        <v>330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 hidden="1">
      <c r="D364" t="s">
        <v>330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 hidden="1">
      <c r="D365" t="s">
        <v>330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 hidden="1">
      <c r="D366" t="s">
        <v>330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 hidden="1">
      <c r="D367" t="s">
        <v>330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 hidden="1">
      <c r="D368" t="s">
        <v>303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 hidden="1">
      <c r="D369" t="s">
        <v>303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 hidden="1">
      <c r="D370" t="s">
        <v>303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 hidden="1">
      <c r="D371" t="s">
        <v>303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 hidden="1">
      <c r="D372" t="s">
        <v>303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 hidden="1">
      <c r="D373" t="s">
        <v>303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 hidden="1">
      <c r="D374" t="s">
        <v>303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 hidden="1">
      <c r="D375" t="s">
        <v>303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 hidden="1">
      <c r="D376" t="s">
        <v>303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 hidden="1">
      <c r="D377" t="s">
        <v>303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 hidden="1">
      <c r="D378" t="s">
        <v>303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 hidden="1">
      <c r="D379" t="s">
        <v>303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 hidden="1">
      <c r="D380" t="s">
        <v>303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 hidden="1">
      <c r="D381" t="s">
        <v>303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 hidden="1">
      <c r="D382" t="s">
        <v>303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 hidden="1">
      <c r="D383" t="s">
        <v>303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 hidden="1">
      <c r="D384" t="s">
        <v>303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 hidden="1">
      <c r="D385" t="s">
        <v>303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11" ht="12.75" hidden="1">
      <c r="D386" t="s">
        <v>303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5" t="e">
        <f>#REF!</f>
        <v>#REF!</v>
      </c>
      <c r="K386" s="36" t="e">
        <f>#REF!</f>
        <v>#REF!</v>
      </c>
    </row>
  </sheetData>
  <sheetProtection password="C79A" sheet="1" objects="1"/>
  <conditionalFormatting sqref="F2:G38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zoomScaleSheetLayoutView="100" workbookViewId="0" topLeftCell="A1">
      <selection activeCell="A2" sqref="A2:D2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4.0039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98" t="s">
        <v>393</v>
      </c>
      <c r="B1" s="198"/>
      <c r="C1" s="198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64" t="s">
        <v>315</v>
      </c>
      <c r="B2" s="164"/>
      <c r="C2" s="164"/>
      <c r="D2" s="164"/>
      <c r="E2" s="161" t="s">
        <v>409</v>
      </c>
      <c r="F2" s="43"/>
      <c r="G2" s="44" t="s">
        <v>332</v>
      </c>
      <c r="H2" s="42" t="s">
        <v>408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65" t="s">
        <v>389</v>
      </c>
      <c r="B4" s="165"/>
      <c r="C4" s="165"/>
      <c r="D4" s="165"/>
      <c r="E4" s="165"/>
      <c r="F4" s="165"/>
      <c r="G4" s="165"/>
      <c r="H4" s="165"/>
      <c r="I4" s="165"/>
      <c r="J4" s="40"/>
      <c r="K4" s="40"/>
      <c r="L4" s="40"/>
    </row>
    <row r="5" spans="1:12" ht="12.75">
      <c r="A5" s="49"/>
      <c r="B5" s="50"/>
      <c r="C5" s="50"/>
      <c r="D5" s="51"/>
      <c r="E5" s="52"/>
      <c r="F5" s="53"/>
      <c r="G5" s="54"/>
      <c r="H5" s="55"/>
      <c r="I5" s="56"/>
      <c r="J5" s="40"/>
      <c r="K5" s="40"/>
      <c r="L5" s="40"/>
    </row>
    <row r="6" spans="1:12" ht="12.75">
      <c r="A6" s="166" t="s">
        <v>273</v>
      </c>
      <c r="B6" s="167"/>
      <c r="C6" s="168" t="s">
        <v>394</v>
      </c>
      <c r="D6" s="169"/>
      <c r="E6" s="170"/>
      <c r="F6" s="170"/>
      <c r="G6" s="170"/>
      <c r="H6" s="170"/>
      <c r="I6" s="58"/>
      <c r="J6" s="40"/>
      <c r="K6" s="40"/>
      <c r="L6" s="40"/>
    </row>
    <row r="7" spans="1:12" ht="12.75">
      <c r="A7" s="59"/>
      <c r="B7" s="59"/>
      <c r="C7" s="49"/>
      <c r="D7" s="49"/>
      <c r="E7" s="170"/>
      <c r="F7" s="170"/>
      <c r="G7" s="170"/>
      <c r="H7" s="170"/>
      <c r="I7" s="58"/>
      <c r="J7" s="40"/>
      <c r="K7" s="40"/>
      <c r="L7" s="40"/>
    </row>
    <row r="8" spans="1:12" ht="12.75">
      <c r="A8" s="171" t="s">
        <v>90</v>
      </c>
      <c r="B8" s="172"/>
      <c r="C8" s="173" t="s">
        <v>395</v>
      </c>
      <c r="D8" s="174"/>
      <c r="E8" s="170"/>
      <c r="F8" s="170"/>
      <c r="G8" s="170"/>
      <c r="H8" s="170"/>
      <c r="I8" s="60"/>
      <c r="J8" s="40"/>
      <c r="K8" s="40"/>
      <c r="L8" s="40"/>
    </row>
    <row r="9" spans="1:12" ht="12.75">
      <c r="A9" s="61"/>
      <c r="B9" s="61"/>
      <c r="C9" s="62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75" t="s">
        <v>223</v>
      </c>
      <c r="B10" s="176"/>
      <c r="C10" s="173" t="s">
        <v>396</v>
      </c>
      <c r="D10" s="174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77"/>
      <c r="B11" s="177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66" t="s">
        <v>91</v>
      </c>
      <c r="B12" s="167"/>
      <c r="C12" s="178" t="s">
        <v>397</v>
      </c>
      <c r="D12" s="179"/>
      <c r="E12" s="179"/>
      <c r="F12" s="179"/>
      <c r="G12" s="179"/>
      <c r="H12" s="179"/>
      <c r="I12" s="180"/>
      <c r="J12" s="40"/>
      <c r="K12" s="40"/>
      <c r="L12" s="40"/>
    </row>
    <row r="13" spans="1:12" ht="12.75">
      <c r="A13" s="59"/>
      <c r="B13" s="59"/>
      <c r="C13" s="63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66" t="s">
        <v>16</v>
      </c>
      <c r="B14" s="167"/>
      <c r="C14" s="181">
        <v>20000</v>
      </c>
      <c r="D14" s="182"/>
      <c r="E14" s="49"/>
      <c r="F14" s="178" t="s">
        <v>398</v>
      </c>
      <c r="G14" s="183"/>
      <c r="H14" s="183"/>
      <c r="I14" s="184"/>
      <c r="J14" s="40"/>
      <c r="K14" s="40"/>
      <c r="L14" s="40"/>
    </row>
    <row r="15" spans="1:12" ht="12.75">
      <c r="A15" s="59"/>
      <c r="B15" s="59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66" t="s">
        <v>17</v>
      </c>
      <c r="B16" s="167"/>
      <c r="C16" s="185" t="s">
        <v>399</v>
      </c>
      <c r="D16" s="156"/>
      <c r="E16" s="156"/>
      <c r="F16" s="156"/>
      <c r="G16" s="156"/>
      <c r="H16" s="156"/>
      <c r="I16" s="157"/>
      <c r="J16" s="40"/>
      <c r="K16" s="40"/>
      <c r="L16" s="40"/>
    </row>
    <row r="17" spans="1:12" ht="12.75">
      <c r="A17" s="59"/>
      <c r="B17" s="59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66" t="s">
        <v>18</v>
      </c>
      <c r="B18" s="167"/>
      <c r="C18" s="158" t="s">
        <v>400</v>
      </c>
      <c r="D18" s="159"/>
      <c r="E18" s="159"/>
      <c r="F18" s="159"/>
      <c r="G18" s="159"/>
      <c r="H18" s="159"/>
      <c r="I18" s="160"/>
      <c r="J18" s="40"/>
      <c r="K18" s="40"/>
      <c r="L18" s="40"/>
    </row>
    <row r="19" spans="1:12" ht="12.75">
      <c r="A19" s="59"/>
      <c r="B19" s="59"/>
      <c r="C19" s="63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66" t="s">
        <v>19</v>
      </c>
      <c r="B20" s="167"/>
      <c r="C20" s="158" t="s">
        <v>401</v>
      </c>
      <c r="D20" s="159"/>
      <c r="E20" s="159"/>
      <c r="F20" s="159"/>
      <c r="G20" s="159"/>
      <c r="H20" s="159"/>
      <c r="I20" s="160"/>
      <c r="J20" s="40"/>
      <c r="K20" s="40"/>
      <c r="L20" s="40"/>
    </row>
    <row r="21" spans="1:12" ht="12.75">
      <c r="A21" s="59"/>
      <c r="B21" s="59"/>
      <c r="C21" s="63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66" t="s">
        <v>92</v>
      </c>
      <c r="B22" s="167"/>
      <c r="C22" s="139">
        <v>98</v>
      </c>
      <c r="D22" s="185" t="s">
        <v>398</v>
      </c>
      <c r="E22" s="152"/>
      <c r="F22" s="153"/>
      <c r="G22" s="154"/>
      <c r="H22" s="155"/>
      <c r="I22" s="65"/>
      <c r="J22" s="40"/>
      <c r="K22" s="40"/>
      <c r="L22" s="40"/>
    </row>
    <row r="23" spans="1:12" ht="12.75">
      <c r="A23" s="59"/>
      <c r="B23" s="59"/>
      <c r="C23" s="49"/>
      <c r="D23" s="66"/>
      <c r="E23" s="66"/>
      <c r="F23" s="66"/>
      <c r="G23" s="66"/>
      <c r="H23" s="49"/>
      <c r="I23" s="60"/>
      <c r="J23" s="40"/>
      <c r="K23" s="40"/>
      <c r="L23" s="40"/>
    </row>
    <row r="24" spans="1:12" ht="12.75">
      <c r="A24" s="166" t="s">
        <v>93</v>
      </c>
      <c r="B24" s="167"/>
      <c r="C24" s="139">
        <v>19</v>
      </c>
      <c r="D24" s="185" t="s">
        <v>402</v>
      </c>
      <c r="E24" s="152"/>
      <c r="F24" s="152"/>
      <c r="G24" s="153"/>
      <c r="H24" s="57" t="s">
        <v>94</v>
      </c>
      <c r="I24" s="67">
        <v>186</v>
      </c>
      <c r="J24" s="40"/>
      <c r="K24" s="40"/>
      <c r="L24" s="40"/>
    </row>
    <row r="25" spans="1:12" ht="12.75">
      <c r="A25" s="59"/>
      <c r="B25" s="59"/>
      <c r="C25" s="49"/>
      <c r="D25" s="66"/>
      <c r="E25" s="66"/>
      <c r="F25" s="66"/>
      <c r="G25" s="59"/>
      <c r="H25" s="59" t="s">
        <v>102</v>
      </c>
      <c r="I25" s="63"/>
      <c r="J25" s="40"/>
      <c r="K25" s="40"/>
      <c r="L25" s="40"/>
    </row>
    <row r="26" spans="1:12" ht="12.75">
      <c r="A26" s="166" t="s">
        <v>267</v>
      </c>
      <c r="B26" s="167"/>
      <c r="C26" s="140" t="s">
        <v>403</v>
      </c>
      <c r="D26" s="68"/>
      <c r="E26" s="40"/>
      <c r="F26" s="69"/>
      <c r="G26" s="166" t="s">
        <v>266</v>
      </c>
      <c r="H26" s="167"/>
      <c r="I26" s="70" t="s">
        <v>404</v>
      </c>
      <c r="J26" s="40"/>
      <c r="K26" s="40"/>
      <c r="L26" s="40"/>
    </row>
    <row r="27" spans="1:12" ht="12.75">
      <c r="A27" s="59"/>
      <c r="B27" s="59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48" t="s">
        <v>95</v>
      </c>
      <c r="B28" s="149"/>
      <c r="C28" s="150"/>
      <c r="D28" s="150"/>
      <c r="E28" s="151" t="s">
        <v>96</v>
      </c>
      <c r="F28" s="146"/>
      <c r="G28" s="146"/>
      <c r="H28" s="147" t="s">
        <v>97</v>
      </c>
      <c r="I28" s="147"/>
      <c r="J28" s="40"/>
      <c r="K28" s="40"/>
      <c r="L28" s="40"/>
    </row>
    <row r="29" spans="1:12" ht="12.75">
      <c r="A29" s="40"/>
      <c r="B29" s="40"/>
      <c r="C29" s="40"/>
      <c r="D29" s="72"/>
      <c r="E29" s="49"/>
      <c r="F29" s="49"/>
      <c r="G29" s="49"/>
      <c r="H29" s="73"/>
      <c r="I29" s="71"/>
      <c r="J29" s="40"/>
      <c r="K29" s="40"/>
      <c r="L29" s="40"/>
    </row>
    <row r="30" spans="1:12" ht="12.75">
      <c r="A30" s="142"/>
      <c r="B30" s="143"/>
      <c r="C30" s="143"/>
      <c r="D30" s="144"/>
      <c r="E30" s="142"/>
      <c r="F30" s="143"/>
      <c r="G30" s="143"/>
      <c r="H30" s="168"/>
      <c r="I30" s="169"/>
      <c r="J30" s="40"/>
      <c r="K30" s="40"/>
      <c r="L30" s="40"/>
    </row>
    <row r="31" spans="1:12" ht="12.75">
      <c r="A31" s="64"/>
      <c r="B31" s="64"/>
      <c r="C31" s="63"/>
      <c r="D31" s="145"/>
      <c r="E31" s="145"/>
      <c r="F31" s="145"/>
      <c r="G31" s="186"/>
      <c r="H31" s="49"/>
      <c r="I31" s="76"/>
      <c r="J31" s="40"/>
      <c r="K31" s="40"/>
      <c r="L31" s="40"/>
    </row>
    <row r="32" spans="1:12" ht="12.75">
      <c r="A32" s="142"/>
      <c r="B32" s="143"/>
      <c r="C32" s="143"/>
      <c r="D32" s="144"/>
      <c r="E32" s="142"/>
      <c r="F32" s="143"/>
      <c r="G32" s="143"/>
      <c r="H32" s="168"/>
      <c r="I32" s="169"/>
      <c r="J32" s="40"/>
      <c r="K32" s="40"/>
      <c r="L32" s="40"/>
    </row>
    <row r="33" spans="1:12" ht="12.75">
      <c r="A33" s="64"/>
      <c r="B33" s="64"/>
      <c r="C33" s="63"/>
      <c r="D33" s="74"/>
      <c r="E33" s="74"/>
      <c r="F33" s="74"/>
      <c r="G33" s="75"/>
      <c r="H33" s="49"/>
      <c r="I33" s="77"/>
      <c r="J33" s="40"/>
      <c r="K33" s="40"/>
      <c r="L33" s="40"/>
    </row>
    <row r="34" spans="1:12" ht="12.75">
      <c r="A34" s="142"/>
      <c r="B34" s="143"/>
      <c r="C34" s="143"/>
      <c r="D34" s="144"/>
      <c r="E34" s="142"/>
      <c r="F34" s="143"/>
      <c r="G34" s="143"/>
      <c r="H34" s="168"/>
      <c r="I34" s="169"/>
      <c r="J34" s="40"/>
      <c r="K34" s="40"/>
      <c r="L34" s="40"/>
    </row>
    <row r="35" spans="1:12" ht="12.75">
      <c r="A35" s="64"/>
      <c r="B35" s="64"/>
      <c r="C35" s="63"/>
      <c r="D35" s="74"/>
      <c r="E35" s="74"/>
      <c r="F35" s="74"/>
      <c r="G35" s="75"/>
      <c r="H35" s="49"/>
      <c r="I35" s="77"/>
      <c r="J35" s="40"/>
      <c r="K35" s="40"/>
      <c r="L35" s="40"/>
    </row>
    <row r="36" spans="1:12" ht="12.75">
      <c r="A36" s="142"/>
      <c r="B36" s="143"/>
      <c r="C36" s="143"/>
      <c r="D36" s="144"/>
      <c r="E36" s="142"/>
      <c r="F36" s="143"/>
      <c r="G36" s="143"/>
      <c r="H36" s="168"/>
      <c r="I36" s="169"/>
      <c r="J36" s="40"/>
      <c r="K36" s="40"/>
      <c r="L36" s="40"/>
    </row>
    <row r="37" spans="1:12" ht="12.75">
      <c r="A37" s="78"/>
      <c r="B37" s="78"/>
      <c r="C37" s="187"/>
      <c r="D37" s="188"/>
      <c r="E37" s="49"/>
      <c r="F37" s="187"/>
      <c r="G37" s="188"/>
      <c r="H37" s="49"/>
      <c r="I37" s="49"/>
      <c r="J37" s="40"/>
      <c r="K37" s="40"/>
      <c r="L37" s="40"/>
    </row>
    <row r="38" spans="1:12" ht="12.75">
      <c r="A38" s="142"/>
      <c r="B38" s="143"/>
      <c r="C38" s="143"/>
      <c r="D38" s="144"/>
      <c r="E38" s="142"/>
      <c r="F38" s="143"/>
      <c r="G38" s="143"/>
      <c r="H38" s="168"/>
      <c r="I38" s="169"/>
      <c r="J38" s="40"/>
      <c r="K38" s="40"/>
      <c r="L38" s="40"/>
    </row>
    <row r="39" spans="1:12" ht="12.75">
      <c r="A39" s="78"/>
      <c r="B39" s="78"/>
      <c r="C39" s="79"/>
      <c r="D39" s="80"/>
      <c r="E39" s="49"/>
      <c r="F39" s="79"/>
      <c r="G39" s="80"/>
      <c r="H39" s="49"/>
      <c r="I39" s="49"/>
      <c r="J39" s="40"/>
      <c r="K39" s="40"/>
      <c r="L39" s="40"/>
    </row>
    <row r="40" spans="1:12" ht="12.75">
      <c r="A40" s="142"/>
      <c r="B40" s="143"/>
      <c r="C40" s="143"/>
      <c r="D40" s="144"/>
      <c r="E40" s="142"/>
      <c r="F40" s="143"/>
      <c r="G40" s="143"/>
      <c r="H40" s="168"/>
      <c r="I40" s="169"/>
      <c r="J40" s="40"/>
      <c r="K40" s="40"/>
      <c r="L40" s="40"/>
    </row>
    <row r="41" spans="1:12" ht="12.75">
      <c r="A41" s="81"/>
      <c r="B41" s="82"/>
      <c r="C41" s="82"/>
      <c r="D41" s="82"/>
      <c r="E41" s="81"/>
      <c r="F41" s="82"/>
      <c r="G41" s="82"/>
      <c r="H41" s="83"/>
      <c r="I41" s="84"/>
      <c r="J41" s="40"/>
      <c r="K41" s="40"/>
      <c r="L41" s="40"/>
    </row>
    <row r="42" spans="1:12" ht="12.75">
      <c r="A42" s="78"/>
      <c r="B42" s="78"/>
      <c r="C42" s="79"/>
      <c r="D42" s="80"/>
      <c r="E42" s="49"/>
      <c r="F42" s="79"/>
      <c r="G42" s="80"/>
      <c r="H42" s="49"/>
      <c r="I42" s="49"/>
      <c r="J42" s="40"/>
      <c r="K42" s="40"/>
      <c r="L42" s="40"/>
    </row>
    <row r="43" spans="1:12" ht="12.75">
      <c r="A43" s="85"/>
      <c r="B43" s="85"/>
      <c r="C43" s="85"/>
      <c r="D43" s="62"/>
      <c r="E43" s="62"/>
      <c r="F43" s="85"/>
      <c r="G43" s="62"/>
      <c r="H43" s="62"/>
      <c r="I43" s="62"/>
      <c r="J43" s="40"/>
      <c r="K43" s="40"/>
      <c r="L43" s="40"/>
    </row>
    <row r="44" spans="1:12" ht="12.75">
      <c r="A44" s="189" t="s">
        <v>70</v>
      </c>
      <c r="B44" s="190"/>
      <c r="C44" s="168"/>
      <c r="D44" s="169"/>
      <c r="E44" s="60"/>
      <c r="F44" s="178"/>
      <c r="G44" s="143"/>
      <c r="H44" s="143"/>
      <c r="I44" s="144"/>
      <c r="J44" s="40"/>
      <c r="K44" s="40"/>
      <c r="L44" s="40"/>
    </row>
    <row r="45" spans="1:12" ht="12.75">
      <c r="A45" s="78"/>
      <c r="B45" s="78"/>
      <c r="C45" s="187"/>
      <c r="D45" s="188"/>
      <c r="E45" s="49"/>
      <c r="F45" s="187"/>
      <c r="G45" s="191"/>
      <c r="H45" s="86"/>
      <c r="I45" s="86"/>
      <c r="J45" s="40"/>
      <c r="K45" s="40"/>
      <c r="L45" s="40"/>
    </row>
    <row r="46" spans="1:12" ht="12.75">
      <c r="A46" s="189" t="s">
        <v>98</v>
      </c>
      <c r="B46" s="190"/>
      <c r="C46" s="185" t="s">
        <v>405</v>
      </c>
      <c r="D46" s="192"/>
      <c r="E46" s="192"/>
      <c r="F46" s="192"/>
      <c r="G46" s="192"/>
      <c r="H46" s="192"/>
      <c r="I46" s="192"/>
      <c r="J46" s="40"/>
      <c r="K46" s="40"/>
      <c r="L46" s="40"/>
    </row>
    <row r="47" spans="1:12" ht="12.75">
      <c r="A47" s="59"/>
      <c r="B47" s="59"/>
      <c r="C47" s="87" t="s">
        <v>306</v>
      </c>
      <c r="D47" s="60"/>
      <c r="E47" s="60"/>
      <c r="F47" s="60"/>
      <c r="G47" s="60"/>
      <c r="H47" s="60"/>
      <c r="I47" s="60"/>
      <c r="J47" s="40"/>
      <c r="K47" s="40"/>
      <c r="L47" s="40"/>
    </row>
    <row r="48" spans="1:12" ht="12.75">
      <c r="A48" s="189" t="s">
        <v>307</v>
      </c>
      <c r="B48" s="190"/>
      <c r="C48" s="193" t="s">
        <v>406</v>
      </c>
      <c r="D48" s="194"/>
      <c r="E48" s="195"/>
      <c r="F48" s="60"/>
      <c r="G48" s="57" t="s">
        <v>308</v>
      </c>
      <c r="H48" s="196" t="s">
        <v>411</v>
      </c>
      <c r="I48" s="197"/>
      <c r="J48" s="40"/>
      <c r="K48" s="40"/>
      <c r="L48" s="40"/>
    </row>
    <row r="49" spans="1:12" ht="12.75">
      <c r="A49" s="59"/>
      <c r="B49" s="59"/>
      <c r="C49" s="87"/>
      <c r="D49" s="60"/>
      <c r="E49" s="60"/>
      <c r="F49" s="60"/>
      <c r="G49" s="60"/>
      <c r="H49" s="60"/>
      <c r="I49" s="60"/>
      <c r="J49" s="40"/>
      <c r="K49" s="40"/>
      <c r="L49" s="40"/>
    </row>
    <row r="50" spans="1:12" ht="12.75">
      <c r="A50" s="189" t="s">
        <v>18</v>
      </c>
      <c r="B50" s="190"/>
      <c r="C50" s="205" t="s">
        <v>400</v>
      </c>
      <c r="D50" s="206"/>
      <c r="E50" s="206"/>
      <c r="F50" s="206"/>
      <c r="G50" s="206"/>
      <c r="H50" s="206"/>
      <c r="I50" s="197"/>
      <c r="J50" s="40"/>
      <c r="K50" s="40"/>
      <c r="L50" s="40"/>
    </row>
    <row r="51" spans="1:12" ht="12.75">
      <c r="A51" s="59"/>
      <c r="B51" s="59"/>
      <c r="C51" s="60"/>
      <c r="D51" s="60"/>
      <c r="E51" s="60"/>
      <c r="F51" s="60"/>
      <c r="G51" s="60"/>
      <c r="H51" s="60"/>
      <c r="I51" s="60"/>
      <c r="J51" s="40"/>
      <c r="K51" s="40"/>
      <c r="L51" s="40"/>
    </row>
    <row r="52" spans="1:12" ht="12.75">
      <c r="A52" s="166" t="s">
        <v>42</v>
      </c>
      <c r="B52" s="167"/>
      <c r="C52" s="196" t="s">
        <v>407</v>
      </c>
      <c r="D52" s="206"/>
      <c r="E52" s="206"/>
      <c r="F52" s="206"/>
      <c r="G52" s="206"/>
      <c r="H52" s="206"/>
      <c r="I52" s="157"/>
      <c r="J52" s="40"/>
      <c r="K52" s="40"/>
      <c r="L52" s="40"/>
    </row>
    <row r="53" spans="1:12" ht="12.75">
      <c r="A53" s="88"/>
      <c r="B53" s="88"/>
      <c r="C53" s="199" t="s">
        <v>265</v>
      </c>
      <c r="D53" s="199"/>
      <c r="E53" s="199"/>
      <c r="F53" s="199"/>
      <c r="G53" s="199"/>
      <c r="H53" s="199"/>
      <c r="I53" s="90"/>
      <c r="J53" s="40"/>
      <c r="K53" s="40"/>
      <c r="L53" s="40"/>
    </row>
    <row r="54" spans="1:12" ht="12.75">
      <c r="A54" s="88"/>
      <c r="B54" s="88"/>
      <c r="C54" s="89"/>
      <c r="D54" s="89"/>
      <c r="E54" s="89"/>
      <c r="F54" s="89"/>
      <c r="G54" s="89"/>
      <c r="H54" s="89"/>
      <c r="I54" s="90"/>
      <c r="J54" s="40"/>
      <c r="K54" s="40"/>
      <c r="L54" s="40"/>
    </row>
    <row r="55" spans="1:12" ht="12.75">
      <c r="A55" s="88"/>
      <c r="B55" s="162" t="s">
        <v>99</v>
      </c>
      <c r="C55" s="163"/>
      <c r="D55" s="163"/>
      <c r="E55" s="163"/>
      <c r="F55" s="91"/>
      <c r="G55" s="91"/>
      <c r="H55" s="91"/>
      <c r="I55" s="92"/>
      <c r="J55" s="40"/>
      <c r="K55" s="40"/>
      <c r="L55" s="40"/>
    </row>
    <row r="56" spans="1:12" ht="12.75">
      <c r="A56" s="88"/>
      <c r="B56" s="162" t="s">
        <v>388</v>
      </c>
      <c r="C56" s="163"/>
      <c r="D56" s="163"/>
      <c r="E56" s="163"/>
      <c r="F56" s="163"/>
      <c r="G56" s="163"/>
      <c r="H56" s="163"/>
      <c r="I56" s="163"/>
      <c r="J56" s="40"/>
      <c r="K56" s="40"/>
      <c r="L56" s="40"/>
    </row>
    <row r="57" spans="1:12" ht="12.75">
      <c r="A57" s="88"/>
      <c r="B57" s="162" t="s">
        <v>100</v>
      </c>
      <c r="C57" s="163"/>
      <c r="D57" s="163"/>
      <c r="E57" s="163"/>
      <c r="F57" s="163"/>
      <c r="G57" s="163"/>
      <c r="H57" s="163"/>
      <c r="I57" s="163"/>
      <c r="J57" s="40"/>
      <c r="K57" s="40"/>
      <c r="L57" s="40"/>
    </row>
    <row r="58" spans="1:12" ht="12.75">
      <c r="A58" s="88"/>
      <c r="B58" s="162" t="s">
        <v>384</v>
      </c>
      <c r="C58" s="163"/>
      <c r="D58" s="163"/>
      <c r="E58" s="163"/>
      <c r="F58" s="163"/>
      <c r="G58" s="163"/>
      <c r="H58" s="163"/>
      <c r="I58" s="163"/>
      <c r="J58" s="40"/>
      <c r="K58" s="40"/>
      <c r="L58" s="40"/>
    </row>
    <row r="59" spans="1:12" ht="12.75">
      <c r="A59" s="88"/>
      <c r="B59" s="88"/>
      <c r="C59" s="89"/>
      <c r="D59" s="89"/>
      <c r="E59" s="89"/>
      <c r="F59" s="89"/>
      <c r="G59" s="89"/>
      <c r="H59" s="89"/>
      <c r="I59" s="90"/>
      <c r="J59" s="40"/>
      <c r="K59" s="40"/>
      <c r="L59" s="40"/>
    </row>
    <row r="60" spans="1:12" ht="13.5" thickBot="1">
      <c r="A60" s="93" t="s">
        <v>101</v>
      </c>
      <c r="B60" s="60"/>
      <c r="C60" s="60"/>
      <c r="D60" s="60"/>
      <c r="E60" s="60"/>
      <c r="F60" s="60"/>
      <c r="G60" s="94"/>
      <c r="H60" s="95"/>
      <c r="I60" s="94"/>
      <c r="J60" s="40"/>
      <c r="K60" s="40"/>
      <c r="L60" s="40"/>
    </row>
    <row r="61" spans="1:12" ht="12.75">
      <c r="A61" s="60"/>
      <c r="B61" s="60"/>
      <c r="C61" s="60"/>
      <c r="D61" s="60"/>
      <c r="E61" s="88" t="s">
        <v>145</v>
      </c>
      <c r="F61" s="40"/>
      <c r="G61" s="200" t="s">
        <v>146</v>
      </c>
      <c r="H61" s="201"/>
      <c r="I61" s="202"/>
      <c r="J61" s="40"/>
      <c r="K61" s="40"/>
      <c r="L61" s="40"/>
    </row>
    <row r="62" spans="1:12" ht="12.75">
      <c r="A62" s="96"/>
      <c r="B62" s="96"/>
      <c r="C62" s="72"/>
      <c r="D62" s="72"/>
      <c r="E62" s="72"/>
      <c r="F62" s="72"/>
      <c r="G62" s="203"/>
      <c r="H62" s="204"/>
      <c r="I62" s="72"/>
      <c r="J62" s="40"/>
      <c r="K62" s="40"/>
      <c r="L62" s="40"/>
    </row>
  </sheetData>
  <sheetProtection/>
  <protectedRanges>
    <protectedRange sqref="E2 H2 C6:D6 A34:D34 A32:I32 A30:I30 I24 F14:I14 I26" name="Range1"/>
    <protectedRange sqref="C8:D8" name="Range1_1"/>
    <protectedRange sqref="C10:D10" name="Range1_2"/>
    <protectedRange sqref="C12:I12" name="Range1_1_1"/>
    <protectedRange sqref="C14:D14" name="Range1_3"/>
    <protectedRange sqref="C16:I16" name="Range1_5"/>
    <protectedRange sqref="C18:I18" name="Range1_2_1"/>
    <protectedRange sqref="C20:I20" name="Range1_3_1"/>
    <protectedRange sqref="C22" name="Range1_6"/>
    <protectedRange sqref="D22:F22" name="Range1_7"/>
    <protectedRange sqref="C24" name="Range1_4_1"/>
    <protectedRange sqref="D24:G24" name="Range1_4_2"/>
    <protectedRange sqref="C26" name="Range1_4"/>
  </protectedRanges>
  <mergeCells count="73">
    <mergeCell ref="A1:C1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C10:D10"/>
    <mergeCell ref="A12:B12"/>
    <mergeCell ref="C12:I12"/>
    <mergeCell ref="A14:B14"/>
    <mergeCell ref="C14:D14"/>
    <mergeCell ref="F14:I14"/>
    <mergeCell ref="B57:I57"/>
    <mergeCell ref="B58:I58"/>
    <mergeCell ref="A2:D2"/>
    <mergeCell ref="A4:I4"/>
    <mergeCell ref="A6:B6"/>
    <mergeCell ref="C6:D6"/>
    <mergeCell ref="E6:H8"/>
    <mergeCell ref="A8:B8"/>
    <mergeCell ref="C8:D8"/>
    <mergeCell ref="A10:B11"/>
  </mergeCells>
  <conditionalFormatting sqref="H29">
    <cfRule type="cellIs" priority="1" dxfId="1" operator="equal" stopIfTrue="1">
      <formula>"DA"</formula>
    </cfRule>
  </conditionalFormatting>
  <conditionalFormatting sqref="H2">
    <cfRule type="cellIs" priority="2" dxfId="2" operator="lessThan" stopIfTrue="1">
      <formula>#REF!</formula>
    </cfRule>
  </conditionalFormatting>
  <hyperlinks>
    <hyperlink ref="C18" r:id="rId1" display="hotelimaestral@hotelimaestral.com"/>
    <hyperlink ref="C20" r:id="rId2" display="www.hotelimaestral"/>
    <hyperlink ref="C50" r:id="rId3" display="hotelimaestral@hotelimaestral.com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tabSelected="1" view="pageBreakPreview" zoomScaleSheetLayoutView="100" workbookViewId="0" topLeftCell="A1">
      <selection activeCell="N9" sqref="N9"/>
    </sheetView>
  </sheetViews>
  <sheetFormatPr defaultColWidth="9.140625" defaultRowHeight="12.75"/>
  <cols>
    <col min="10" max="10" width="10.00390625" style="0" customWidth="1"/>
    <col min="11" max="11" width="10.7109375" style="0" customWidth="1"/>
  </cols>
  <sheetData>
    <row r="1" spans="1:11" ht="15.75">
      <c r="A1" s="237" t="s">
        <v>74</v>
      </c>
      <c r="B1" s="237"/>
      <c r="C1" s="237"/>
      <c r="D1" s="237"/>
      <c r="E1" s="237"/>
      <c r="F1" s="237"/>
      <c r="G1" s="237"/>
      <c r="H1" s="237"/>
      <c r="I1" s="237"/>
      <c r="J1" s="237"/>
      <c r="K1" s="98"/>
    </row>
    <row r="2" spans="1:11" ht="12.75">
      <c r="A2" s="98"/>
      <c r="B2" s="99"/>
      <c r="C2" s="99"/>
      <c r="D2" s="99"/>
      <c r="E2" s="238" t="s">
        <v>103</v>
      </c>
      <c r="F2" s="239"/>
      <c r="G2" s="240" t="s">
        <v>408</v>
      </c>
      <c r="H2" s="241"/>
      <c r="I2" s="99"/>
      <c r="J2" s="99"/>
      <c r="K2" s="98"/>
    </row>
    <row r="3" spans="1:11" ht="24" thickBot="1">
      <c r="A3" s="242" t="s">
        <v>178</v>
      </c>
      <c r="B3" s="243"/>
      <c r="C3" s="243"/>
      <c r="D3" s="243"/>
      <c r="E3" s="243"/>
      <c r="F3" s="243"/>
      <c r="G3" s="243"/>
      <c r="H3" s="244"/>
      <c r="I3" s="107" t="s">
        <v>390</v>
      </c>
      <c r="J3" s="108" t="s">
        <v>52</v>
      </c>
      <c r="K3" s="108" t="s">
        <v>53</v>
      </c>
    </row>
    <row r="4" spans="1:11" ht="12.75">
      <c r="A4" s="233">
        <v>1</v>
      </c>
      <c r="B4" s="233"/>
      <c r="C4" s="233"/>
      <c r="D4" s="233"/>
      <c r="E4" s="233"/>
      <c r="F4" s="233"/>
      <c r="G4" s="233"/>
      <c r="H4" s="233"/>
      <c r="I4" s="110">
        <v>2</v>
      </c>
      <c r="J4" s="109">
        <v>3</v>
      </c>
      <c r="K4" s="109">
        <v>4</v>
      </c>
    </row>
    <row r="5" spans="1:11" ht="12.75">
      <c r="A5" s="234" t="s">
        <v>180</v>
      </c>
      <c r="B5" s="235"/>
      <c r="C5" s="235"/>
      <c r="D5" s="235"/>
      <c r="E5" s="235"/>
      <c r="F5" s="235"/>
      <c r="G5" s="235"/>
      <c r="H5" s="235"/>
      <c r="I5" s="235"/>
      <c r="J5" s="235"/>
      <c r="K5" s="236"/>
    </row>
    <row r="6" spans="1:11" ht="12.75">
      <c r="A6" s="207" t="s">
        <v>181</v>
      </c>
      <c r="B6" s="208"/>
      <c r="C6" s="208"/>
      <c r="D6" s="208"/>
      <c r="E6" s="208"/>
      <c r="F6" s="208"/>
      <c r="G6" s="208"/>
      <c r="H6" s="227"/>
      <c r="I6" s="6">
        <v>1</v>
      </c>
      <c r="J6" s="27"/>
      <c r="K6" s="27"/>
    </row>
    <row r="7" spans="1:11" ht="12.75">
      <c r="A7" s="217" t="s">
        <v>130</v>
      </c>
      <c r="B7" s="218"/>
      <c r="C7" s="218"/>
      <c r="D7" s="218"/>
      <c r="E7" s="218"/>
      <c r="F7" s="218"/>
      <c r="G7" s="218"/>
      <c r="H7" s="219"/>
      <c r="I7" s="4">
        <v>2</v>
      </c>
      <c r="J7" s="28">
        <f>J8+J15+J25+J33+J37</f>
        <v>219202408</v>
      </c>
      <c r="K7" s="28">
        <f>K8+K15+K25+K33+K37</f>
        <v>214660367</v>
      </c>
    </row>
    <row r="8" spans="1:11" ht="12.75">
      <c r="A8" s="211" t="s">
        <v>131</v>
      </c>
      <c r="B8" s="212"/>
      <c r="C8" s="212"/>
      <c r="D8" s="212"/>
      <c r="E8" s="212"/>
      <c r="F8" s="212"/>
      <c r="G8" s="212"/>
      <c r="H8" s="213"/>
      <c r="I8" s="4">
        <v>3</v>
      </c>
      <c r="J8" s="28">
        <f>SUM(J9:J14)</f>
        <v>144172</v>
      </c>
      <c r="K8" s="28">
        <f>SUM(K9:K14)</f>
        <v>306109</v>
      </c>
    </row>
    <row r="9" spans="1:11" ht="12.75">
      <c r="A9" s="211" t="s">
        <v>121</v>
      </c>
      <c r="B9" s="212"/>
      <c r="C9" s="212"/>
      <c r="D9" s="212"/>
      <c r="E9" s="212"/>
      <c r="F9" s="212"/>
      <c r="G9" s="212"/>
      <c r="H9" s="213"/>
      <c r="I9" s="4">
        <v>4</v>
      </c>
      <c r="J9" s="29"/>
      <c r="K9" s="29"/>
    </row>
    <row r="10" spans="1:11" ht="12.75">
      <c r="A10" s="211" t="s">
        <v>336</v>
      </c>
      <c r="B10" s="212"/>
      <c r="C10" s="212"/>
      <c r="D10" s="212"/>
      <c r="E10" s="212"/>
      <c r="F10" s="212"/>
      <c r="G10" s="212"/>
      <c r="H10" s="213"/>
      <c r="I10" s="4">
        <v>5</v>
      </c>
      <c r="J10" s="29">
        <v>144172</v>
      </c>
      <c r="K10" s="29">
        <v>306109</v>
      </c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3"/>
      <c r="I11" s="4">
        <v>6</v>
      </c>
      <c r="J11" s="29"/>
      <c r="K11" s="29"/>
    </row>
    <row r="12" spans="1:11" ht="12.75">
      <c r="A12" s="211" t="s">
        <v>147</v>
      </c>
      <c r="B12" s="212"/>
      <c r="C12" s="212"/>
      <c r="D12" s="212"/>
      <c r="E12" s="212"/>
      <c r="F12" s="212"/>
      <c r="G12" s="212"/>
      <c r="H12" s="213"/>
      <c r="I12" s="4">
        <v>7</v>
      </c>
      <c r="J12" s="29"/>
      <c r="K12" s="29"/>
    </row>
    <row r="13" spans="1:11" ht="12.75">
      <c r="A13" s="211" t="s">
        <v>148</v>
      </c>
      <c r="B13" s="212"/>
      <c r="C13" s="212"/>
      <c r="D13" s="212"/>
      <c r="E13" s="212"/>
      <c r="F13" s="212"/>
      <c r="G13" s="212"/>
      <c r="H13" s="213"/>
      <c r="I13" s="4">
        <v>8</v>
      </c>
      <c r="J13" s="29"/>
      <c r="K13" s="29"/>
    </row>
    <row r="14" spans="1:11" ht="12.75">
      <c r="A14" s="211" t="s">
        <v>149</v>
      </c>
      <c r="B14" s="212"/>
      <c r="C14" s="212"/>
      <c r="D14" s="212"/>
      <c r="E14" s="212"/>
      <c r="F14" s="212"/>
      <c r="G14" s="212"/>
      <c r="H14" s="213"/>
      <c r="I14" s="4">
        <v>9</v>
      </c>
      <c r="J14" s="29"/>
      <c r="K14" s="29"/>
    </row>
    <row r="15" spans="1:11" ht="12.75">
      <c r="A15" s="211" t="s">
        <v>132</v>
      </c>
      <c r="B15" s="212"/>
      <c r="C15" s="212"/>
      <c r="D15" s="212"/>
      <c r="E15" s="212"/>
      <c r="F15" s="212"/>
      <c r="G15" s="212"/>
      <c r="H15" s="213"/>
      <c r="I15" s="4">
        <v>10</v>
      </c>
      <c r="J15" s="28">
        <f>SUM(J16:J24)</f>
        <v>218472945</v>
      </c>
      <c r="K15" s="28">
        <f>SUM(K16:K24)</f>
        <v>213777786</v>
      </c>
    </row>
    <row r="16" spans="1:11" ht="12.75">
      <c r="A16" s="211" t="s">
        <v>150</v>
      </c>
      <c r="B16" s="212"/>
      <c r="C16" s="212"/>
      <c r="D16" s="212"/>
      <c r="E16" s="212"/>
      <c r="F16" s="212"/>
      <c r="G16" s="212"/>
      <c r="H16" s="213"/>
      <c r="I16" s="4">
        <v>11</v>
      </c>
      <c r="J16" s="29">
        <v>137089765</v>
      </c>
      <c r="K16" s="29">
        <v>137089765</v>
      </c>
    </row>
    <row r="17" spans="1:11" ht="12.75">
      <c r="A17" s="211" t="s">
        <v>304</v>
      </c>
      <c r="B17" s="212"/>
      <c r="C17" s="212"/>
      <c r="D17" s="212"/>
      <c r="E17" s="212"/>
      <c r="F17" s="212"/>
      <c r="G17" s="212"/>
      <c r="H17" s="213"/>
      <c r="I17" s="4">
        <v>12</v>
      </c>
      <c r="J17" s="29">
        <f>149163238-87924778-952463-1757844</f>
        <v>58528153</v>
      </c>
      <c r="K17" s="29">
        <f>149131202-90793067-1017522-1875784</f>
        <v>55444829</v>
      </c>
    </row>
    <row r="18" spans="1:11" ht="12.75">
      <c r="A18" s="211" t="s">
        <v>151</v>
      </c>
      <c r="B18" s="212"/>
      <c r="C18" s="212"/>
      <c r="D18" s="212"/>
      <c r="E18" s="212"/>
      <c r="F18" s="212"/>
      <c r="G18" s="212"/>
      <c r="H18" s="213"/>
      <c r="I18" s="4">
        <v>13</v>
      </c>
      <c r="J18" s="29">
        <f>25849778-912740-79202-5137673-1903289-6982559-2572181-272580</f>
        <v>7989554</v>
      </c>
      <c r="K18" s="29">
        <f>25818574-1052376-85887-5516871-1874421-7170047-2917330-332053</f>
        <v>6869589</v>
      </c>
    </row>
    <row r="19" spans="1:11" ht="12.75">
      <c r="A19" s="211" t="s">
        <v>0</v>
      </c>
      <c r="B19" s="212"/>
      <c r="C19" s="212"/>
      <c r="D19" s="212"/>
      <c r="E19" s="212"/>
      <c r="F19" s="212"/>
      <c r="G19" s="212"/>
      <c r="H19" s="213"/>
      <c r="I19" s="4">
        <v>14</v>
      </c>
      <c r="J19" s="29">
        <f>19732232-757318-27086-14825692-1740753-124822-449471</f>
        <v>1807090</v>
      </c>
      <c r="K19" s="29">
        <f>19593530-860677-29294-15062292-1741746-160404-452149</f>
        <v>1286968</v>
      </c>
    </row>
    <row r="20" spans="1:11" ht="12.75">
      <c r="A20" s="211" t="s">
        <v>1</v>
      </c>
      <c r="B20" s="212"/>
      <c r="C20" s="212"/>
      <c r="D20" s="212"/>
      <c r="E20" s="212"/>
      <c r="F20" s="212"/>
      <c r="G20" s="212"/>
      <c r="H20" s="213"/>
      <c r="I20" s="4">
        <v>15</v>
      </c>
      <c r="J20" s="29"/>
      <c r="K20" s="29"/>
    </row>
    <row r="21" spans="1:11" ht="12.75">
      <c r="A21" s="211" t="s">
        <v>2</v>
      </c>
      <c r="B21" s="212"/>
      <c r="C21" s="212"/>
      <c r="D21" s="212"/>
      <c r="E21" s="212"/>
      <c r="F21" s="212"/>
      <c r="G21" s="212"/>
      <c r="H21" s="213"/>
      <c r="I21" s="4">
        <v>16</v>
      </c>
      <c r="J21" s="29"/>
      <c r="K21" s="29"/>
    </row>
    <row r="22" spans="1:11" ht="12.75">
      <c r="A22" s="211" t="s">
        <v>3</v>
      </c>
      <c r="B22" s="212"/>
      <c r="C22" s="212"/>
      <c r="D22" s="212"/>
      <c r="E22" s="212"/>
      <c r="F22" s="212"/>
      <c r="G22" s="212"/>
      <c r="H22" s="213"/>
      <c r="I22" s="4">
        <v>17</v>
      </c>
      <c r="J22" s="29">
        <v>968848</v>
      </c>
      <c r="K22" s="29">
        <v>997100</v>
      </c>
    </row>
    <row r="23" spans="1:11" ht="12.75">
      <c r="A23" s="211" t="s">
        <v>4</v>
      </c>
      <c r="B23" s="212"/>
      <c r="C23" s="212"/>
      <c r="D23" s="212"/>
      <c r="E23" s="212"/>
      <c r="F23" s="212"/>
      <c r="G23" s="212"/>
      <c r="H23" s="213"/>
      <c r="I23" s="4">
        <v>18</v>
      </c>
      <c r="J23" s="29">
        <v>361833</v>
      </c>
      <c r="K23" s="29">
        <v>361833</v>
      </c>
    </row>
    <row r="24" spans="1:11" ht="12.75">
      <c r="A24" s="211" t="s">
        <v>5</v>
      </c>
      <c r="B24" s="212"/>
      <c r="C24" s="212"/>
      <c r="D24" s="212"/>
      <c r="E24" s="212"/>
      <c r="F24" s="212"/>
      <c r="G24" s="212"/>
      <c r="H24" s="213"/>
      <c r="I24" s="4">
        <v>19</v>
      </c>
      <c r="J24" s="29">
        <v>11727702</v>
      </c>
      <c r="K24" s="29">
        <v>11727702</v>
      </c>
    </row>
    <row r="25" spans="1:11" ht="12.75">
      <c r="A25" s="211" t="s">
        <v>133</v>
      </c>
      <c r="B25" s="212"/>
      <c r="C25" s="212"/>
      <c r="D25" s="212"/>
      <c r="E25" s="212"/>
      <c r="F25" s="212"/>
      <c r="G25" s="212"/>
      <c r="H25" s="213"/>
      <c r="I25" s="4">
        <v>20</v>
      </c>
      <c r="J25" s="28">
        <f>SUM(J26:J32)</f>
        <v>585291</v>
      </c>
      <c r="K25" s="28">
        <f>SUM(K26:K32)</f>
        <v>576472</v>
      </c>
    </row>
    <row r="26" spans="1:11" ht="12.75">
      <c r="A26" s="211" t="s">
        <v>6</v>
      </c>
      <c r="B26" s="212"/>
      <c r="C26" s="212"/>
      <c r="D26" s="212"/>
      <c r="E26" s="212"/>
      <c r="F26" s="212"/>
      <c r="G26" s="212"/>
      <c r="H26" s="213"/>
      <c r="I26" s="4">
        <v>21</v>
      </c>
      <c r="J26" s="29"/>
      <c r="K26" s="29"/>
    </row>
    <row r="27" spans="1:11" ht="12.75">
      <c r="A27" s="211" t="s">
        <v>7</v>
      </c>
      <c r="B27" s="212"/>
      <c r="C27" s="212"/>
      <c r="D27" s="212"/>
      <c r="E27" s="212"/>
      <c r="F27" s="212"/>
      <c r="G27" s="212"/>
      <c r="H27" s="213"/>
      <c r="I27" s="4">
        <v>22</v>
      </c>
      <c r="J27" s="29"/>
      <c r="K27" s="29"/>
    </row>
    <row r="28" spans="1:11" ht="12.75">
      <c r="A28" s="211" t="s">
        <v>8</v>
      </c>
      <c r="B28" s="212"/>
      <c r="C28" s="212"/>
      <c r="D28" s="212"/>
      <c r="E28" s="212"/>
      <c r="F28" s="212"/>
      <c r="G28" s="212"/>
      <c r="H28" s="213"/>
      <c r="I28" s="4">
        <v>23</v>
      </c>
      <c r="J28" s="29">
        <f>109500+102151+373640</f>
        <v>585291</v>
      </c>
      <c r="K28" s="29">
        <f>109500+93332+373640</f>
        <v>576472</v>
      </c>
    </row>
    <row r="29" spans="1:11" ht="12.75">
      <c r="A29" s="211" t="s">
        <v>9</v>
      </c>
      <c r="B29" s="212"/>
      <c r="C29" s="212"/>
      <c r="D29" s="212"/>
      <c r="E29" s="212"/>
      <c r="F29" s="212"/>
      <c r="G29" s="212"/>
      <c r="H29" s="213"/>
      <c r="I29" s="4">
        <v>24</v>
      </c>
      <c r="J29" s="29"/>
      <c r="K29" s="29"/>
    </row>
    <row r="30" spans="1:11" ht="12.75">
      <c r="A30" s="211" t="s">
        <v>10</v>
      </c>
      <c r="B30" s="212"/>
      <c r="C30" s="212"/>
      <c r="D30" s="212"/>
      <c r="E30" s="212"/>
      <c r="F30" s="212"/>
      <c r="G30" s="212"/>
      <c r="H30" s="213"/>
      <c r="I30" s="4">
        <v>25</v>
      </c>
      <c r="J30" s="29"/>
      <c r="K30" s="29"/>
    </row>
    <row r="31" spans="1:11" ht="12.75">
      <c r="A31" s="211" t="s">
        <v>11</v>
      </c>
      <c r="B31" s="212"/>
      <c r="C31" s="212"/>
      <c r="D31" s="212"/>
      <c r="E31" s="212"/>
      <c r="F31" s="212"/>
      <c r="G31" s="212"/>
      <c r="H31" s="213"/>
      <c r="I31" s="4">
        <v>26</v>
      </c>
      <c r="J31" s="29"/>
      <c r="K31" s="29"/>
    </row>
    <row r="32" spans="1:11" ht="12.75">
      <c r="A32" s="211" t="s">
        <v>12</v>
      </c>
      <c r="B32" s="212"/>
      <c r="C32" s="212"/>
      <c r="D32" s="212"/>
      <c r="E32" s="212"/>
      <c r="F32" s="212"/>
      <c r="G32" s="212"/>
      <c r="H32" s="213"/>
      <c r="I32" s="4">
        <v>27</v>
      </c>
      <c r="J32" s="29"/>
      <c r="K32" s="29"/>
    </row>
    <row r="33" spans="1:11" ht="12.75">
      <c r="A33" s="211" t="s">
        <v>134</v>
      </c>
      <c r="B33" s="212"/>
      <c r="C33" s="212"/>
      <c r="D33" s="212"/>
      <c r="E33" s="212"/>
      <c r="F33" s="212"/>
      <c r="G33" s="212"/>
      <c r="H33" s="213"/>
      <c r="I33" s="4">
        <v>28</v>
      </c>
      <c r="J33" s="28">
        <f>SUM(J34:J36)</f>
        <v>0</v>
      </c>
      <c r="K33" s="28">
        <f>SUM(K34:K36)</f>
        <v>0</v>
      </c>
    </row>
    <row r="34" spans="1:11" ht="12.75">
      <c r="A34" s="211" t="s">
        <v>13</v>
      </c>
      <c r="B34" s="212"/>
      <c r="C34" s="212"/>
      <c r="D34" s="212"/>
      <c r="E34" s="212"/>
      <c r="F34" s="212"/>
      <c r="G34" s="212"/>
      <c r="H34" s="213"/>
      <c r="I34" s="4">
        <v>29</v>
      </c>
      <c r="J34" s="29"/>
      <c r="K34" s="29"/>
    </row>
    <row r="35" spans="1:11" ht="12.75">
      <c r="A35" s="211" t="s">
        <v>14</v>
      </c>
      <c r="B35" s="212"/>
      <c r="C35" s="212"/>
      <c r="D35" s="212"/>
      <c r="E35" s="212"/>
      <c r="F35" s="212"/>
      <c r="G35" s="212"/>
      <c r="H35" s="213"/>
      <c r="I35" s="4">
        <v>30</v>
      </c>
      <c r="J35" s="29"/>
      <c r="K35" s="29"/>
    </row>
    <row r="36" spans="1:11" ht="12.75">
      <c r="A36" s="211" t="s">
        <v>15</v>
      </c>
      <c r="B36" s="212"/>
      <c r="C36" s="212"/>
      <c r="D36" s="212"/>
      <c r="E36" s="212"/>
      <c r="F36" s="212"/>
      <c r="G36" s="212"/>
      <c r="H36" s="213"/>
      <c r="I36" s="4">
        <v>31</v>
      </c>
      <c r="J36" s="29"/>
      <c r="K36" s="29"/>
    </row>
    <row r="37" spans="1:11" ht="12.75">
      <c r="A37" s="211" t="s">
        <v>135</v>
      </c>
      <c r="B37" s="212"/>
      <c r="C37" s="212"/>
      <c r="D37" s="212"/>
      <c r="E37" s="212"/>
      <c r="F37" s="212"/>
      <c r="G37" s="212"/>
      <c r="H37" s="213"/>
      <c r="I37" s="4">
        <v>32</v>
      </c>
      <c r="J37" s="29"/>
      <c r="K37" s="29"/>
    </row>
    <row r="38" spans="1:11" ht="12.75">
      <c r="A38" s="217" t="s">
        <v>136</v>
      </c>
      <c r="B38" s="218"/>
      <c r="C38" s="218"/>
      <c r="D38" s="218"/>
      <c r="E38" s="218"/>
      <c r="F38" s="218"/>
      <c r="G38" s="218"/>
      <c r="H38" s="219"/>
      <c r="I38" s="4">
        <v>33</v>
      </c>
      <c r="J38" s="28">
        <f>J39+J47+J54+J62</f>
        <v>17784982</v>
      </c>
      <c r="K38" s="28">
        <f>K39+K47+K54+K62</f>
        <v>14347378</v>
      </c>
    </row>
    <row r="39" spans="1:11" ht="12.75">
      <c r="A39" s="211" t="s">
        <v>137</v>
      </c>
      <c r="B39" s="212"/>
      <c r="C39" s="212"/>
      <c r="D39" s="212"/>
      <c r="E39" s="212"/>
      <c r="F39" s="212"/>
      <c r="G39" s="212"/>
      <c r="H39" s="213"/>
      <c r="I39" s="4">
        <v>34</v>
      </c>
      <c r="J39" s="28">
        <f>SUM(J40:J46)</f>
        <v>980457</v>
      </c>
      <c r="K39" s="28">
        <f>SUM(K40:K46)</f>
        <v>768016</v>
      </c>
    </row>
    <row r="40" spans="1:11" ht="12.75">
      <c r="A40" s="211" t="s">
        <v>309</v>
      </c>
      <c r="B40" s="212"/>
      <c r="C40" s="212"/>
      <c r="D40" s="212"/>
      <c r="E40" s="212"/>
      <c r="F40" s="212"/>
      <c r="G40" s="212"/>
      <c r="H40" s="213"/>
      <c r="I40" s="4">
        <v>35</v>
      </c>
      <c r="J40" s="29">
        <f>976224-187292</f>
        <v>788932</v>
      </c>
      <c r="K40" s="29">
        <f>760672-160936</f>
        <v>599736</v>
      </c>
    </row>
    <row r="41" spans="1:11" ht="12.75">
      <c r="A41" s="211" t="s">
        <v>310</v>
      </c>
      <c r="B41" s="212"/>
      <c r="C41" s="212"/>
      <c r="D41" s="212"/>
      <c r="E41" s="212"/>
      <c r="F41" s="212"/>
      <c r="G41" s="212"/>
      <c r="H41" s="213"/>
      <c r="I41" s="4">
        <v>36</v>
      </c>
      <c r="J41" s="29"/>
      <c r="K41" s="29"/>
    </row>
    <row r="42" spans="1:11" ht="12.75">
      <c r="A42" s="211" t="s">
        <v>311</v>
      </c>
      <c r="B42" s="212"/>
      <c r="C42" s="212"/>
      <c r="D42" s="212"/>
      <c r="E42" s="212"/>
      <c r="F42" s="212"/>
      <c r="G42" s="212"/>
      <c r="H42" s="213"/>
      <c r="I42" s="4">
        <v>37</v>
      </c>
      <c r="J42" s="29"/>
      <c r="K42" s="29"/>
    </row>
    <row r="43" spans="1:11" ht="12.75">
      <c r="A43" s="211" t="s">
        <v>312</v>
      </c>
      <c r="B43" s="212"/>
      <c r="C43" s="212"/>
      <c r="D43" s="212"/>
      <c r="E43" s="212"/>
      <c r="F43" s="212"/>
      <c r="G43" s="212"/>
      <c r="H43" s="213"/>
      <c r="I43" s="4">
        <v>38</v>
      </c>
      <c r="J43" s="29"/>
      <c r="K43" s="29"/>
    </row>
    <row r="44" spans="1:11" ht="12.75">
      <c r="A44" s="211" t="s">
        <v>313</v>
      </c>
      <c r="B44" s="212"/>
      <c r="C44" s="212"/>
      <c r="D44" s="212"/>
      <c r="E44" s="212"/>
      <c r="F44" s="212"/>
      <c r="G44" s="212"/>
      <c r="H44" s="213"/>
      <c r="I44" s="4">
        <v>39</v>
      </c>
      <c r="J44" s="29">
        <v>4233</v>
      </c>
      <c r="K44" s="29">
        <v>7344</v>
      </c>
    </row>
    <row r="45" spans="1:11" ht="12.75">
      <c r="A45" s="211" t="s">
        <v>152</v>
      </c>
      <c r="B45" s="212"/>
      <c r="C45" s="212"/>
      <c r="D45" s="212"/>
      <c r="E45" s="212"/>
      <c r="F45" s="212"/>
      <c r="G45" s="212"/>
      <c r="H45" s="213"/>
      <c r="I45" s="4">
        <v>40</v>
      </c>
      <c r="J45" s="29">
        <v>187292</v>
      </c>
      <c r="K45" s="29">
        <v>160936</v>
      </c>
    </row>
    <row r="46" spans="1:11" ht="12.75">
      <c r="A46" s="211" t="s">
        <v>153</v>
      </c>
      <c r="B46" s="212"/>
      <c r="C46" s="212"/>
      <c r="D46" s="212"/>
      <c r="E46" s="212"/>
      <c r="F46" s="212"/>
      <c r="G46" s="212"/>
      <c r="H46" s="213"/>
      <c r="I46" s="4">
        <v>41</v>
      </c>
      <c r="J46" s="29"/>
      <c r="K46" s="29"/>
    </row>
    <row r="47" spans="1:11" ht="12.75">
      <c r="A47" s="211" t="s">
        <v>138</v>
      </c>
      <c r="B47" s="212"/>
      <c r="C47" s="212"/>
      <c r="D47" s="212"/>
      <c r="E47" s="212"/>
      <c r="F47" s="212"/>
      <c r="G47" s="212"/>
      <c r="H47" s="213"/>
      <c r="I47" s="4">
        <v>42</v>
      </c>
      <c r="J47" s="28">
        <f>SUM(J48:J53)</f>
        <v>5018282</v>
      </c>
      <c r="K47" s="28">
        <f>SUM(K48:K53)</f>
        <v>3718328</v>
      </c>
    </row>
    <row r="48" spans="1:11" ht="12.75">
      <c r="A48" s="211" t="s">
        <v>154</v>
      </c>
      <c r="B48" s="212"/>
      <c r="C48" s="212"/>
      <c r="D48" s="212"/>
      <c r="E48" s="212"/>
      <c r="F48" s="212"/>
      <c r="G48" s="212"/>
      <c r="H48" s="213"/>
      <c r="I48" s="4">
        <v>43</v>
      </c>
      <c r="J48" s="29"/>
      <c r="K48" s="29"/>
    </row>
    <row r="49" spans="1:11" ht="12.75">
      <c r="A49" s="211" t="s">
        <v>155</v>
      </c>
      <c r="B49" s="212"/>
      <c r="C49" s="212"/>
      <c r="D49" s="212"/>
      <c r="E49" s="212"/>
      <c r="F49" s="212"/>
      <c r="G49" s="212"/>
      <c r="H49" s="213"/>
      <c r="I49" s="4">
        <v>44</v>
      </c>
      <c r="J49" s="29">
        <v>2617923</v>
      </c>
      <c r="K49" s="29">
        <v>1489658</v>
      </c>
    </row>
    <row r="50" spans="1:11" ht="12.75">
      <c r="A50" s="211" t="s">
        <v>156</v>
      </c>
      <c r="B50" s="212"/>
      <c r="C50" s="212"/>
      <c r="D50" s="212"/>
      <c r="E50" s="212"/>
      <c r="F50" s="212"/>
      <c r="G50" s="212"/>
      <c r="H50" s="213"/>
      <c r="I50" s="4">
        <v>45</v>
      </c>
      <c r="J50" s="29"/>
      <c r="K50" s="29"/>
    </row>
    <row r="51" spans="1:11" ht="12.75">
      <c r="A51" s="211" t="s">
        <v>157</v>
      </c>
      <c r="B51" s="212"/>
      <c r="C51" s="212"/>
      <c r="D51" s="212"/>
      <c r="E51" s="212"/>
      <c r="F51" s="212"/>
      <c r="G51" s="212"/>
      <c r="H51" s="213"/>
      <c r="I51" s="4">
        <v>46</v>
      </c>
      <c r="J51" s="29">
        <v>65772</v>
      </c>
      <c r="K51" s="29">
        <v>68396</v>
      </c>
    </row>
    <row r="52" spans="1:11" ht="12.75">
      <c r="A52" s="211" t="s">
        <v>123</v>
      </c>
      <c r="B52" s="212"/>
      <c r="C52" s="212"/>
      <c r="D52" s="212"/>
      <c r="E52" s="212"/>
      <c r="F52" s="212"/>
      <c r="G52" s="212"/>
      <c r="H52" s="213"/>
      <c r="I52" s="4">
        <v>47</v>
      </c>
      <c r="J52" s="29">
        <f>107635+192282</f>
        <v>299917</v>
      </c>
      <c r="K52" s="29">
        <f>130648+459548-4485</f>
        <v>585711</v>
      </c>
    </row>
    <row r="53" spans="1:11" ht="12.75">
      <c r="A53" s="211" t="s">
        <v>124</v>
      </c>
      <c r="B53" s="212"/>
      <c r="C53" s="212"/>
      <c r="D53" s="212"/>
      <c r="E53" s="212"/>
      <c r="F53" s="212"/>
      <c r="G53" s="212"/>
      <c r="H53" s="213"/>
      <c r="I53" s="4">
        <v>48</v>
      </c>
      <c r="J53" s="29">
        <v>2034670</v>
      </c>
      <c r="K53" s="29">
        <f>27364+9505764-7958565</f>
        <v>1574563</v>
      </c>
    </row>
    <row r="54" spans="1:11" ht="12.75">
      <c r="A54" s="211" t="s">
        <v>125</v>
      </c>
      <c r="B54" s="212"/>
      <c r="C54" s="212"/>
      <c r="D54" s="212"/>
      <c r="E54" s="212"/>
      <c r="F54" s="212"/>
      <c r="G54" s="212"/>
      <c r="H54" s="213"/>
      <c r="I54" s="4">
        <v>49</v>
      </c>
      <c r="J54" s="28">
        <f>SUM(J55:J61)</f>
        <v>18632</v>
      </c>
      <c r="K54" s="28">
        <f>SUM(K55:K61)</f>
        <v>14386</v>
      </c>
    </row>
    <row r="55" spans="1:11" ht="12.75">
      <c r="A55" s="211" t="s">
        <v>6</v>
      </c>
      <c r="B55" s="212"/>
      <c r="C55" s="212"/>
      <c r="D55" s="212"/>
      <c r="E55" s="212"/>
      <c r="F55" s="212"/>
      <c r="G55" s="212"/>
      <c r="H55" s="213"/>
      <c r="I55" s="4">
        <v>50</v>
      </c>
      <c r="J55" s="29"/>
      <c r="K55" s="29"/>
    </row>
    <row r="56" spans="1:11" ht="12.75">
      <c r="A56" s="211" t="s">
        <v>7</v>
      </c>
      <c r="B56" s="212"/>
      <c r="C56" s="212"/>
      <c r="D56" s="212"/>
      <c r="E56" s="212"/>
      <c r="F56" s="212"/>
      <c r="G56" s="212"/>
      <c r="H56" s="213"/>
      <c r="I56" s="4">
        <v>51</v>
      </c>
      <c r="J56" s="29"/>
      <c r="K56" s="29"/>
    </row>
    <row r="57" spans="1:11" ht="12.75">
      <c r="A57" s="211" t="s">
        <v>257</v>
      </c>
      <c r="B57" s="212"/>
      <c r="C57" s="212"/>
      <c r="D57" s="212"/>
      <c r="E57" s="212"/>
      <c r="F57" s="212"/>
      <c r="G57" s="212"/>
      <c r="H57" s="213"/>
      <c r="I57" s="4">
        <v>52</v>
      </c>
      <c r="J57" s="29"/>
      <c r="K57" s="29"/>
    </row>
    <row r="58" spans="1:11" ht="12.75">
      <c r="A58" s="211" t="s">
        <v>9</v>
      </c>
      <c r="B58" s="212"/>
      <c r="C58" s="212"/>
      <c r="D58" s="212"/>
      <c r="E58" s="212"/>
      <c r="F58" s="212"/>
      <c r="G58" s="212"/>
      <c r="H58" s="213"/>
      <c r="I58" s="4">
        <v>53</v>
      </c>
      <c r="J58" s="29"/>
      <c r="K58" s="29"/>
    </row>
    <row r="59" spans="1:11" ht="12.75">
      <c r="A59" s="211" t="s">
        <v>268</v>
      </c>
      <c r="B59" s="212"/>
      <c r="C59" s="212"/>
      <c r="D59" s="212"/>
      <c r="E59" s="212"/>
      <c r="F59" s="212"/>
      <c r="G59" s="212"/>
      <c r="H59" s="213"/>
      <c r="I59" s="4">
        <v>54</v>
      </c>
      <c r="J59" s="29">
        <v>18632</v>
      </c>
      <c r="K59" s="29">
        <v>14386</v>
      </c>
    </row>
    <row r="60" spans="1:11" ht="12.75">
      <c r="A60" s="211" t="s">
        <v>11</v>
      </c>
      <c r="B60" s="212"/>
      <c r="C60" s="212"/>
      <c r="D60" s="212"/>
      <c r="E60" s="212"/>
      <c r="F60" s="212"/>
      <c r="G60" s="212"/>
      <c r="H60" s="213"/>
      <c r="I60" s="4">
        <v>55</v>
      </c>
      <c r="J60" s="29">
        <v>0</v>
      </c>
      <c r="K60" s="29"/>
    </row>
    <row r="61" spans="1:11" ht="12.75">
      <c r="A61" s="211" t="s">
        <v>269</v>
      </c>
      <c r="B61" s="212"/>
      <c r="C61" s="212"/>
      <c r="D61" s="212"/>
      <c r="E61" s="212"/>
      <c r="F61" s="212"/>
      <c r="G61" s="212"/>
      <c r="H61" s="213"/>
      <c r="I61" s="4">
        <v>56</v>
      </c>
      <c r="J61" s="29">
        <v>0</v>
      </c>
      <c r="K61" s="29">
        <v>0</v>
      </c>
    </row>
    <row r="62" spans="1:11" ht="12.75">
      <c r="A62" s="211" t="s">
        <v>139</v>
      </c>
      <c r="B62" s="212"/>
      <c r="C62" s="212"/>
      <c r="D62" s="212"/>
      <c r="E62" s="212"/>
      <c r="F62" s="212"/>
      <c r="G62" s="212"/>
      <c r="H62" s="213"/>
      <c r="I62" s="4">
        <v>57</v>
      </c>
      <c r="J62" s="29">
        <v>11767611</v>
      </c>
      <c r="K62" s="29">
        <v>9846648</v>
      </c>
    </row>
    <row r="63" spans="1:11" ht="12.75">
      <c r="A63" s="217" t="s">
        <v>140</v>
      </c>
      <c r="B63" s="218"/>
      <c r="C63" s="218"/>
      <c r="D63" s="218"/>
      <c r="E63" s="218"/>
      <c r="F63" s="218"/>
      <c r="G63" s="218"/>
      <c r="H63" s="219"/>
      <c r="I63" s="4">
        <v>58</v>
      </c>
      <c r="J63" s="29">
        <v>588529</v>
      </c>
      <c r="K63" s="29">
        <v>626838</v>
      </c>
    </row>
    <row r="64" spans="1:11" ht="12.75">
      <c r="A64" s="217" t="s">
        <v>141</v>
      </c>
      <c r="B64" s="218"/>
      <c r="C64" s="218"/>
      <c r="D64" s="218"/>
      <c r="E64" s="218"/>
      <c r="F64" s="218"/>
      <c r="G64" s="218"/>
      <c r="H64" s="219"/>
      <c r="I64" s="4">
        <v>59</v>
      </c>
      <c r="J64" s="29"/>
      <c r="K64" s="29"/>
    </row>
    <row r="65" spans="1:11" ht="12.75">
      <c r="A65" s="217" t="s">
        <v>142</v>
      </c>
      <c r="B65" s="218"/>
      <c r="C65" s="218"/>
      <c r="D65" s="218"/>
      <c r="E65" s="218"/>
      <c r="F65" s="218"/>
      <c r="G65" s="218"/>
      <c r="H65" s="219"/>
      <c r="I65" s="4">
        <v>60</v>
      </c>
      <c r="J65" s="28">
        <f>J6+J7+J38+J63+J64</f>
        <v>237575919</v>
      </c>
      <c r="K65" s="28">
        <f>K6+K7+K38+K63+K64</f>
        <v>229634583</v>
      </c>
    </row>
    <row r="66" spans="1:11" ht="12.75">
      <c r="A66" s="228" t="s">
        <v>143</v>
      </c>
      <c r="B66" s="229"/>
      <c r="C66" s="229"/>
      <c r="D66" s="229"/>
      <c r="E66" s="229"/>
      <c r="F66" s="229"/>
      <c r="G66" s="229"/>
      <c r="H66" s="230"/>
      <c r="I66" s="7">
        <v>61</v>
      </c>
      <c r="J66" s="32"/>
      <c r="K66" s="32">
        <v>108026196</v>
      </c>
    </row>
    <row r="67" spans="1:11" ht="12.75">
      <c r="A67" s="223" t="s">
        <v>144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2"/>
    </row>
    <row r="68" spans="1:11" ht="12.75">
      <c r="A68" s="207" t="s">
        <v>270</v>
      </c>
      <c r="B68" s="208"/>
      <c r="C68" s="208"/>
      <c r="D68" s="208"/>
      <c r="E68" s="208"/>
      <c r="F68" s="208"/>
      <c r="G68" s="208"/>
      <c r="H68" s="227"/>
      <c r="I68" s="6">
        <v>62</v>
      </c>
      <c r="J68" s="39">
        <f>J69+J70+J71+J77+J78-J79+J80-J81+J82</f>
        <v>137260248</v>
      </c>
      <c r="K68" s="39">
        <f>K69+K70+K71+K77+K78-K79+K80-K81+K82</f>
        <v>129167333</v>
      </c>
    </row>
    <row r="69" spans="1:11" ht="12.75">
      <c r="A69" s="211" t="s">
        <v>173</v>
      </c>
      <c r="B69" s="212"/>
      <c r="C69" s="212"/>
      <c r="D69" s="212"/>
      <c r="E69" s="212"/>
      <c r="F69" s="212"/>
      <c r="G69" s="212"/>
      <c r="H69" s="213"/>
      <c r="I69" s="4">
        <v>63</v>
      </c>
      <c r="J69" s="29">
        <v>103144000</v>
      </c>
      <c r="K69" s="29">
        <v>103144000</v>
      </c>
    </row>
    <row r="70" spans="1:11" ht="12.75">
      <c r="A70" s="211" t="s">
        <v>174</v>
      </c>
      <c r="B70" s="212"/>
      <c r="C70" s="212"/>
      <c r="D70" s="212"/>
      <c r="E70" s="212"/>
      <c r="F70" s="212"/>
      <c r="G70" s="212"/>
      <c r="H70" s="213"/>
      <c r="I70" s="4">
        <v>64</v>
      </c>
      <c r="J70" s="29"/>
      <c r="K70" s="29"/>
    </row>
    <row r="71" spans="1:11" ht="12.75">
      <c r="A71" s="211" t="s">
        <v>175</v>
      </c>
      <c r="B71" s="212"/>
      <c r="C71" s="212"/>
      <c r="D71" s="212"/>
      <c r="E71" s="212"/>
      <c r="F71" s="212"/>
      <c r="G71" s="212"/>
      <c r="H71" s="213"/>
      <c r="I71" s="4">
        <v>65</v>
      </c>
      <c r="J71" s="28">
        <f>J72+J73-J74+J75+J76</f>
        <v>9808842</v>
      </c>
      <c r="K71" s="28">
        <f>K72+K73-K74+K75+K76</f>
        <v>9808842</v>
      </c>
    </row>
    <row r="72" spans="1:11" ht="12.75">
      <c r="A72" s="211" t="s">
        <v>176</v>
      </c>
      <c r="B72" s="212"/>
      <c r="C72" s="212"/>
      <c r="D72" s="212"/>
      <c r="E72" s="212"/>
      <c r="F72" s="212"/>
      <c r="G72" s="212"/>
      <c r="H72" s="213"/>
      <c r="I72" s="4">
        <v>66</v>
      </c>
      <c r="J72" s="29">
        <v>216263</v>
      </c>
      <c r="K72" s="29">
        <v>216263</v>
      </c>
    </row>
    <row r="73" spans="1:11" ht="12.75">
      <c r="A73" s="211" t="s">
        <v>177</v>
      </c>
      <c r="B73" s="212"/>
      <c r="C73" s="212"/>
      <c r="D73" s="212"/>
      <c r="E73" s="212"/>
      <c r="F73" s="212"/>
      <c r="G73" s="212"/>
      <c r="H73" s="213"/>
      <c r="I73" s="4">
        <v>67</v>
      </c>
      <c r="J73" s="29"/>
      <c r="K73" s="29"/>
    </row>
    <row r="74" spans="1:11" ht="12.75">
      <c r="A74" s="211" t="s">
        <v>319</v>
      </c>
      <c r="B74" s="212"/>
      <c r="C74" s="212"/>
      <c r="D74" s="212"/>
      <c r="E74" s="212"/>
      <c r="F74" s="212"/>
      <c r="G74" s="212"/>
      <c r="H74" s="213"/>
      <c r="I74" s="4">
        <v>68</v>
      </c>
      <c r="J74" s="29"/>
      <c r="K74" s="29"/>
    </row>
    <row r="75" spans="1:11" ht="12.75">
      <c r="A75" s="211" t="s">
        <v>320</v>
      </c>
      <c r="B75" s="212"/>
      <c r="C75" s="212"/>
      <c r="D75" s="212"/>
      <c r="E75" s="212"/>
      <c r="F75" s="212"/>
      <c r="G75" s="212"/>
      <c r="H75" s="213"/>
      <c r="I75" s="4">
        <v>69</v>
      </c>
      <c r="J75" s="29"/>
      <c r="K75" s="29"/>
    </row>
    <row r="76" spans="1:11" ht="12.75">
      <c r="A76" s="211" t="s">
        <v>321</v>
      </c>
      <c r="B76" s="212"/>
      <c r="C76" s="212"/>
      <c r="D76" s="212"/>
      <c r="E76" s="212"/>
      <c r="F76" s="212"/>
      <c r="G76" s="212"/>
      <c r="H76" s="213"/>
      <c r="I76" s="4">
        <v>70</v>
      </c>
      <c r="J76" s="29">
        <v>9592579</v>
      </c>
      <c r="K76" s="29">
        <v>9592579</v>
      </c>
    </row>
    <row r="77" spans="1:11" ht="12.75">
      <c r="A77" s="211" t="s">
        <v>322</v>
      </c>
      <c r="B77" s="212"/>
      <c r="C77" s="212"/>
      <c r="D77" s="212"/>
      <c r="E77" s="212"/>
      <c r="F77" s="212"/>
      <c r="G77" s="212"/>
      <c r="H77" s="213"/>
      <c r="I77" s="4">
        <v>71</v>
      </c>
      <c r="J77" s="29">
        <v>27164505</v>
      </c>
      <c r="K77" s="29">
        <v>27164505</v>
      </c>
    </row>
    <row r="78" spans="1:11" ht="12.75">
      <c r="A78" s="211" t="s">
        <v>323</v>
      </c>
      <c r="B78" s="212"/>
      <c r="C78" s="212"/>
      <c r="D78" s="212"/>
      <c r="E78" s="212"/>
      <c r="F78" s="212"/>
      <c r="G78" s="212"/>
      <c r="H78" s="213"/>
      <c r="I78" s="4">
        <v>72</v>
      </c>
      <c r="J78" s="29">
        <v>4109005</v>
      </c>
      <c r="K78" s="29"/>
    </row>
    <row r="79" spans="1:11" ht="12.75">
      <c r="A79" s="211" t="s">
        <v>324</v>
      </c>
      <c r="B79" s="212"/>
      <c r="C79" s="212"/>
      <c r="D79" s="212"/>
      <c r="E79" s="212"/>
      <c r="F79" s="212"/>
      <c r="G79" s="212"/>
      <c r="H79" s="213"/>
      <c r="I79" s="4">
        <v>73</v>
      </c>
      <c r="J79" s="29"/>
      <c r="K79" s="29">
        <v>2857099</v>
      </c>
    </row>
    <row r="80" spans="1:11" ht="12.75">
      <c r="A80" s="211" t="s">
        <v>126</v>
      </c>
      <c r="B80" s="212"/>
      <c r="C80" s="212"/>
      <c r="D80" s="212"/>
      <c r="E80" s="212"/>
      <c r="F80" s="212"/>
      <c r="G80" s="212"/>
      <c r="H80" s="213"/>
      <c r="I80" s="4">
        <v>74</v>
      </c>
      <c r="J80" s="29"/>
      <c r="K80" s="29"/>
    </row>
    <row r="81" spans="1:11" ht="12.75">
      <c r="A81" s="211" t="s">
        <v>127</v>
      </c>
      <c r="B81" s="212"/>
      <c r="C81" s="212"/>
      <c r="D81" s="212"/>
      <c r="E81" s="212"/>
      <c r="F81" s="212"/>
      <c r="G81" s="212"/>
      <c r="H81" s="213"/>
      <c r="I81" s="4">
        <v>75</v>
      </c>
      <c r="J81" s="29">
        <v>6966104</v>
      </c>
      <c r="K81" s="29">
        <f>+RDG!K46</f>
        <v>8092915</v>
      </c>
    </row>
    <row r="82" spans="1:11" ht="12.75">
      <c r="A82" s="211" t="s">
        <v>128</v>
      </c>
      <c r="B82" s="212"/>
      <c r="C82" s="212"/>
      <c r="D82" s="212"/>
      <c r="E82" s="212"/>
      <c r="F82" s="212"/>
      <c r="G82" s="212"/>
      <c r="H82" s="213"/>
      <c r="I82" s="4">
        <v>76</v>
      </c>
      <c r="J82" s="29"/>
      <c r="K82" s="29"/>
    </row>
    <row r="83" spans="1:11" ht="12.75">
      <c r="A83" s="217" t="s">
        <v>129</v>
      </c>
      <c r="B83" s="218"/>
      <c r="C83" s="218"/>
      <c r="D83" s="218"/>
      <c r="E83" s="218"/>
      <c r="F83" s="218"/>
      <c r="G83" s="218"/>
      <c r="H83" s="219"/>
      <c r="I83" s="4">
        <v>77</v>
      </c>
      <c r="J83" s="28">
        <f>SUM(J84:J86)</f>
        <v>245760</v>
      </c>
      <c r="K83" s="28">
        <f>SUM(K84:K86)</f>
        <v>1406091</v>
      </c>
    </row>
    <row r="84" spans="1:11" ht="12.75">
      <c r="A84" s="211" t="s">
        <v>287</v>
      </c>
      <c r="B84" s="212"/>
      <c r="C84" s="212"/>
      <c r="D84" s="212"/>
      <c r="E84" s="212"/>
      <c r="F84" s="212"/>
      <c r="G84" s="212"/>
      <c r="H84" s="213"/>
      <c r="I84" s="4">
        <v>78</v>
      </c>
      <c r="J84" s="29"/>
      <c r="K84" s="29"/>
    </row>
    <row r="85" spans="1:11" ht="12.75">
      <c r="A85" s="211" t="s">
        <v>288</v>
      </c>
      <c r="B85" s="212"/>
      <c r="C85" s="212"/>
      <c r="D85" s="212"/>
      <c r="E85" s="212"/>
      <c r="F85" s="212"/>
      <c r="G85" s="212"/>
      <c r="H85" s="213"/>
      <c r="I85" s="4">
        <v>79</v>
      </c>
      <c r="J85" s="29"/>
      <c r="K85" s="29"/>
    </row>
    <row r="86" spans="1:11" ht="12.75">
      <c r="A86" s="211" t="s">
        <v>289</v>
      </c>
      <c r="B86" s="212"/>
      <c r="C86" s="212"/>
      <c r="D86" s="212"/>
      <c r="E86" s="212"/>
      <c r="F86" s="212"/>
      <c r="G86" s="212"/>
      <c r="H86" s="213"/>
      <c r="I86" s="4">
        <v>80</v>
      </c>
      <c r="J86" s="29">
        <f>215759+30001</f>
        <v>245760</v>
      </c>
      <c r="K86" s="29">
        <v>1406091</v>
      </c>
    </row>
    <row r="87" spans="1:11" ht="12.75">
      <c r="A87" s="217" t="s">
        <v>116</v>
      </c>
      <c r="B87" s="218"/>
      <c r="C87" s="218"/>
      <c r="D87" s="218"/>
      <c r="E87" s="218"/>
      <c r="F87" s="218"/>
      <c r="G87" s="218"/>
      <c r="H87" s="219"/>
      <c r="I87" s="4">
        <v>81</v>
      </c>
      <c r="J87" s="28">
        <f>SUM(J88:J95)</f>
        <v>44215394</v>
      </c>
      <c r="K87" s="28">
        <f>SUM(K88:K95)</f>
        <v>45324482</v>
      </c>
    </row>
    <row r="88" spans="1:11" ht="12.75">
      <c r="A88" s="211" t="s">
        <v>290</v>
      </c>
      <c r="B88" s="212"/>
      <c r="C88" s="212"/>
      <c r="D88" s="212"/>
      <c r="E88" s="212"/>
      <c r="F88" s="212"/>
      <c r="G88" s="212"/>
      <c r="H88" s="213"/>
      <c r="I88" s="4">
        <v>82</v>
      </c>
      <c r="J88" s="29">
        <v>3020166</v>
      </c>
      <c r="K88" s="29">
        <v>1942698</v>
      </c>
    </row>
    <row r="89" spans="1:11" ht="12.75">
      <c r="A89" s="211" t="s">
        <v>291</v>
      </c>
      <c r="B89" s="212"/>
      <c r="C89" s="212"/>
      <c r="D89" s="212"/>
      <c r="E89" s="212"/>
      <c r="F89" s="212"/>
      <c r="G89" s="212"/>
      <c r="H89" s="213"/>
      <c r="I89" s="4">
        <v>83</v>
      </c>
      <c r="J89" s="29"/>
      <c r="K89" s="29"/>
    </row>
    <row r="90" spans="1:11" ht="12.75">
      <c r="A90" s="211" t="s">
        <v>28</v>
      </c>
      <c r="B90" s="212"/>
      <c r="C90" s="212"/>
      <c r="D90" s="212"/>
      <c r="E90" s="212"/>
      <c r="F90" s="212"/>
      <c r="G90" s="212"/>
      <c r="H90" s="213"/>
      <c r="I90" s="4">
        <v>84</v>
      </c>
      <c r="J90" s="29">
        <v>41172588</v>
      </c>
      <c r="K90" s="29">
        <f>45324482-1942698-6866</f>
        <v>43374918</v>
      </c>
    </row>
    <row r="91" spans="1:11" ht="12.75">
      <c r="A91" s="211" t="s">
        <v>292</v>
      </c>
      <c r="B91" s="212"/>
      <c r="C91" s="212"/>
      <c r="D91" s="212"/>
      <c r="E91" s="212"/>
      <c r="F91" s="212"/>
      <c r="G91" s="212"/>
      <c r="H91" s="213"/>
      <c r="I91" s="4">
        <v>85</v>
      </c>
      <c r="J91" s="29"/>
      <c r="K91" s="29"/>
    </row>
    <row r="92" spans="1:11" ht="12.75">
      <c r="A92" s="211" t="s">
        <v>293</v>
      </c>
      <c r="B92" s="212"/>
      <c r="C92" s="212"/>
      <c r="D92" s="212"/>
      <c r="E92" s="212"/>
      <c r="F92" s="212"/>
      <c r="G92" s="212"/>
      <c r="H92" s="213"/>
      <c r="I92" s="4">
        <v>86</v>
      </c>
      <c r="J92" s="29"/>
      <c r="K92" s="29"/>
    </row>
    <row r="93" spans="1:11" ht="12.75">
      <c r="A93" s="211" t="s">
        <v>294</v>
      </c>
      <c r="B93" s="212"/>
      <c r="C93" s="212"/>
      <c r="D93" s="212"/>
      <c r="E93" s="212"/>
      <c r="F93" s="212"/>
      <c r="G93" s="212"/>
      <c r="H93" s="213"/>
      <c r="I93" s="4">
        <v>87</v>
      </c>
      <c r="J93" s="29"/>
      <c r="K93" s="29"/>
    </row>
    <row r="94" spans="1:11" ht="12.75">
      <c r="A94" s="211" t="s">
        <v>295</v>
      </c>
      <c r="B94" s="212"/>
      <c r="C94" s="212"/>
      <c r="D94" s="212"/>
      <c r="E94" s="212"/>
      <c r="F94" s="212"/>
      <c r="G94" s="212"/>
      <c r="H94" s="213"/>
      <c r="I94" s="4">
        <v>88</v>
      </c>
      <c r="J94" s="29">
        <v>22640</v>
      </c>
      <c r="K94" s="29">
        <v>6866</v>
      </c>
    </row>
    <row r="95" spans="1:11" ht="12.75">
      <c r="A95" s="211" t="s">
        <v>296</v>
      </c>
      <c r="B95" s="212"/>
      <c r="C95" s="212"/>
      <c r="D95" s="212"/>
      <c r="E95" s="212"/>
      <c r="F95" s="212"/>
      <c r="G95" s="212"/>
      <c r="H95" s="213"/>
      <c r="I95" s="4">
        <v>89</v>
      </c>
      <c r="J95" s="29"/>
      <c r="K95" s="29"/>
    </row>
    <row r="96" spans="1:11" ht="12.75">
      <c r="A96" s="217" t="s">
        <v>117</v>
      </c>
      <c r="B96" s="218"/>
      <c r="C96" s="218"/>
      <c r="D96" s="218"/>
      <c r="E96" s="218"/>
      <c r="F96" s="218"/>
      <c r="G96" s="218"/>
      <c r="H96" s="219"/>
      <c r="I96" s="4">
        <v>90</v>
      </c>
      <c r="J96" s="28">
        <f>SUM(J97:J107)</f>
        <v>55720757</v>
      </c>
      <c r="K96" s="28">
        <f>SUM(K97:K107)</f>
        <v>53559011</v>
      </c>
    </row>
    <row r="97" spans="1:11" ht="12.75">
      <c r="A97" s="211" t="s">
        <v>290</v>
      </c>
      <c r="B97" s="212"/>
      <c r="C97" s="212"/>
      <c r="D97" s="212"/>
      <c r="E97" s="212"/>
      <c r="F97" s="212"/>
      <c r="G97" s="212"/>
      <c r="H97" s="213"/>
      <c r="I97" s="4">
        <v>91</v>
      </c>
      <c r="J97" s="29">
        <f>1098242+6680719+5871529+509089+3554763+8190736+2718466+93943</f>
        <v>28717487</v>
      </c>
      <c r="K97" s="29">
        <f>1110113+6752932+6944056+514591+3919332+9443412+3812208+94959</f>
        <v>32591603</v>
      </c>
    </row>
    <row r="98" spans="1:11" ht="12.75">
      <c r="A98" s="211" t="s">
        <v>291</v>
      </c>
      <c r="B98" s="212"/>
      <c r="C98" s="212"/>
      <c r="D98" s="212"/>
      <c r="E98" s="212"/>
      <c r="F98" s="212"/>
      <c r="G98" s="212"/>
      <c r="H98" s="213"/>
      <c r="I98" s="4">
        <v>92</v>
      </c>
      <c r="J98" s="29"/>
      <c r="K98" s="29"/>
    </row>
    <row r="99" spans="1:11" ht="12.75">
      <c r="A99" s="211" t="s">
        <v>28</v>
      </c>
      <c r="B99" s="212"/>
      <c r="C99" s="212"/>
      <c r="D99" s="212"/>
      <c r="E99" s="212"/>
      <c r="F99" s="212"/>
      <c r="G99" s="212"/>
      <c r="H99" s="213"/>
      <c r="I99" s="4">
        <v>93</v>
      </c>
      <c r="J99" s="29">
        <f>18959068+31394844-28717487</f>
        <v>21636425</v>
      </c>
      <c r="K99" s="29">
        <f>32193337+15025517-32591603</f>
        <v>14627251</v>
      </c>
    </row>
    <row r="100" spans="1:11" ht="12.75">
      <c r="A100" s="211" t="s">
        <v>292</v>
      </c>
      <c r="B100" s="212"/>
      <c r="C100" s="212"/>
      <c r="D100" s="212"/>
      <c r="E100" s="212"/>
      <c r="F100" s="212"/>
      <c r="G100" s="212"/>
      <c r="H100" s="213"/>
      <c r="I100" s="4">
        <v>94</v>
      </c>
      <c r="J100" s="29">
        <v>66761</v>
      </c>
      <c r="K100" s="29">
        <f>112695+493404</f>
        <v>606099</v>
      </c>
    </row>
    <row r="101" spans="1:11" ht="12.75">
      <c r="A101" s="211" t="s">
        <v>293</v>
      </c>
      <c r="B101" s="212"/>
      <c r="C101" s="212"/>
      <c r="D101" s="212"/>
      <c r="E101" s="212"/>
      <c r="F101" s="212"/>
      <c r="G101" s="212"/>
      <c r="H101" s="213"/>
      <c r="I101" s="4">
        <v>95</v>
      </c>
      <c r="J101" s="29">
        <v>2194445</v>
      </c>
      <c r="K101" s="29">
        <v>965196</v>
      </c>
    </row>
    <row r="102" spans="1:11" ht="12.75">
      <c r="A102" s="211" t="s">
        <v>294</v>
      </c>
      <c r="B102" s="212"/>
      <c r="C102" s="212"/>
      <c r="D102" s="212"/>
      <c r="E102" s="212"/>
      <c r="F102" s="212"/>
      <c r="G102" s="212"/>
      <c r="H102" s="213"/>
      <c r="I102" s="4">
        <v>96</v>
      </c>
      <c r="J102" s="29"/>
      <c r="K102" s="29"/>
    </row>
    <row r="103" spans="1:11" ht="12.75">
      <c r="A103" s="211" t="s">
        <v>297</v>
      </c>
      <c r="B103" s="212"/>
      <c r="C103" s="212"/>
      <c r="D103" s="212"/>
      <c r="E103" s="212"/>
      <c r="F103" s="212"/>
      <c r="G103" s="212"/>
      <c r="H103" s="213"/>
      <c r="I103" s="4">
        <v>97</v>
      </c>
      <c r="J103" s="29">
        <v>1587891</v>
      </c>
      <c r="K103" s="29">
        <f>609317+2093055</f>
        <v>2702372</v>
      </c>
    </row>
    <row r="104" spans="1:11" ht="12.75">
      <c r="A104" s="211" t="s">
        <v>298</v>
      </c>
      <c r="B104" s="212"/>
      <c r="C104" s="212"/>
      <c r="D104" s="212"/>
      <c r="E104" s="212"/>
      <c r="F104" s="212"/>
      <c r="G104" s="212"/>
      <c r="H104" s="213"/>
      <c r="I104" s="4">
        <v>98</v>
      </c>
      <c r="J104" s="29">
        <v>1475351</v>
      </c>
      <c r="K104" s="29">
        <f>1955+568524+8983+669535+571615+14538+221040</f>
        <v>2056190</v>
      </c>
    </row>
    <row r="105" spans="1:11" ht="12.75">
      <c r="A105" s="211" t="s">
        <v>299</v>
      </c>
      <c r="B105" s="212"/>
      <c r="C105" s="212"/>
      <c r="D105" s="212"/>
      <c r="E105" s="212"/>
      <c r="F105" s="212"/>
      <c r="G105" s="212"/>
      <c r="H105" s="213"/>
      <c r="I105" s="4">
        <v>99</v>
      </c>
      <c r="J105" s="29"/>
      <c r="K105" s="29"/>
    </row>
    <row r="106" spans="1:11" ht="12.75">
      <c r="A106" s="211" t="s">
        <v>305</v>
      </c>
      <c r="B106" s="212"/>
      <c r="C106" s="212"/>
      <c r="D106" s="212"/>
      <c r="E106" s="212"/>
      <c r="F106" s="212"/>
      <c r="G106" s="212"/>
      <c r="H106" s="213"/>
      <c r="I106" s="4">
        <v>100</v>
      </c>
      <c r="J106" s="29"/>
      <c r="K106" s="29"/>
    </row>
    <row r="107" spans="1:11" ht="12.75">
      <c r="A107" s="211" t="s">
        <v>300</v>
      </c>
      <c r="B107" s="212"/>
      <c r="C107" s="212"/>
      <c r="D107" s="212"/>
      <c r="E107" s="212"/>
      <c r="F107" s="212"/>
      <c r="G107" s="212"/>
      <c r="H107" s="213"/>
      <c r="I107" s="4">
        <v>101</v>
      </c>
      <c r="J107" s="29">
        <f>14361+28036</f>
        <v>42397</v>
      </c>
      <c r="K107" s="29">
        <f>10000+300</f>
        <v>10300</v>
      </c>
    </row>
    <row r="108" spans="1:11" ht="12.75">
      <c r="A108" s="217" t="s">
        <v>29</v>
      </c>
      <c r="B108" s="218"/>
      <c r="C108" s="218"/>
      <c r="D108" s="218"/>
      <c r="E108" s="218"/>
      <c r="F108" s="218"/>
      <c r="G108" s="218"/>
      <c r="H108" s="219"/>
      <c r="I108" s="4">
        <v>102</v>
      </c>
      <c r="J108" s="29">
        <v>133760</v>
      </c>
      <c r="K108" s="29">
        <v>177666</v>
      </c>
    </row>
    <row r="109" spans="1:13" ht="12.75">
      <c r="A109" s="217" t="s">
        <v>301</v>
      </c>
      <c r="B109" s="218"/>
      <c r="C109" s="218"/>
      <c r="D109" s="218"/>
      <c r="E109" s="218"/>
      <c r="F109" s="218"/>
      <c r="G109" s="218"/>
      <c r="H109" s="219"/>
      <c r="I109" s="4">
        <v>103</v>
      </c>
      <c r="J109" s="28">
        <f>J68+J83+J87+J96+J108</f>
        <v>237575919</v>
      </c>
      <c r="K109" s="28">
        <f>K68+K83+K87+K96+K108</f>
        <v>229634583</v>
      </c>
      <c r="M109" s="9"/>
    </row>
    <row r="110" spans="1:11" ht="12.75">
      <c r="A110" s="220" t="s">
        <v>143</v>
      </c>
      <c r="B110" s="221"/>
      <c r="C110" s="221"/>
      <c r="D110" s="221"/>
      <c r="E110" s="221"/>
      <c r="F110" s="221"/>
      <c r="G110" s="221"/>
      <c r="H110" s="222"/>
      <c r="I110" s="5">
        <v>104</v>
      </c>
      <c r="J110" s="32"/>
      <c r="K110" s="32">
        <v>108026196</v>
      </c>
    </row>
    <row r="111" spans="1:11" ht="12.75">
      <c r="A111" s="223" t="s">
        <v>391</v>
      </c>
      <c r="B111" s="224"/>
      <c r="C111" s="224"/>
      <c r="D111" s="224"/>
      <c r="E111" s="224"/>
      <c r="F111" s="224"/>
      <c r="G111" s="224"/>
      <c r="H111" s="224"/>
      <c r="I111" s="225"/>
      <c r="J111" s="225"/>
      <c r="K111" s="226"/>
    </row>
    <row r="112" spans="1:11" ht="12.75">
      <c r="A112" s="207" t="s">
        <v>118</v>
      </c>
      <c r="B112" s="208"/>
      <c r="C112" s="208"/>
      <c r="D112" s="208"/>
      <c r="E112" s="208"/>
      <c r="F112" s="208"/>
      <c r="G112" s="208"/>
      <c r="H112" s="208"/>
      <c r="I112" s="209"/>
      <c r="J112" s="209"/>
      <c r="K112" s="210"/>
    </row>
    <row r="113" spans="1:11" ht="12.75">
      <c r="A113" s="211" t="s">
        <v>119</v>
      </c>
      <c r="B113" s="212"/>
      <c r="C113" s="212"/>
      <c r="D113" s="212"/>
      <c r="E113" s="212"/>
      <c r="F113" s="212"/>
      <c r="G113" s="212"/>
      <c r="H113" s="213"/>
      <c r="I113" s="4">
        <v>105</v>
      </c>
      <c r="J113" s="30"/>
      <c r="K113" s="29"/>
    </row>
    <row r="114" spans="1:11" ht="12.75">
      <c r="A114" s="214" t="s">
        <v>120</v>
      </c>
      <c r="B114" s="215"/>
      <c r="C114" s="215"/>
      <c r="D114" s="215"/>
      <c r="E114" s="215"/>
      <c r="F114" s="215"/>
      <c r="G114" s="215"/>
      <c r="H114" s="216"/>
      <c r="I114" s="7">
        <v>106</v>
      </c>
      <c r="J114" s="31"/>
      <c r="K114" s="32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1" ht="12.7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</row>
    <row r="118" spans="10:11" ht="12.75">
      <c r="J118" s="141"/>
      <c r="K118" s="141"/>
    </row>
    <row r="120" spans="10:11" ht="12.75">
      <c r="J120" s="141"/>
      <c r="K120" s="141"/>
    </row>
  </sheetData>
  <sheetProtection/>
  <protectedRanges>
    <protectedRange sqref="G2:H2" name="Range2"/>
  </protectedRanges>
  <mergeCells count="115">
    <mergeCell ref="A1:J1"/>
    <mergeCell ref="E2:F2"/>
    <mergeCell ref="G2:H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K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12:K112"/>
    <mergeCell ref="A113:H113"/>
    <mergeCell ref="A114:H114"/>
    <mergeCell ref="A108:H108"/>
    <mergeCell ref="A109:H109"/>
    <mergeCell ref="A110:H110"/>
    <mergeCell ref="A111:K111"/>
  </mergeCells>
  <dataValidations count="2">
    <dataValidation type="whole" operator="greaterThanOrEqual" allowBlank="1" showInputMessage="1" showErrorMessage="1" errorTitle="Pogrešan unos" error="Mogu se unijeti samo cjelobrojne pozitivne vrijednosti." sqref="J16:K19 J22:K24 J28:K28 J40 J44:J45 J49 J51:J53 J59:J63 J69 J72 J76 J78 J81 J86 J88:K90 J94 J97:J101 J107:J108 K52:K53 K61:K62 K66 K97:K99 J103:K104 K107 K110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">
      <formula1>9999999999</formula1>
    </dataValidation>
  </dataValidations>
  <printOptions horizontalCentered="1"/>
  <pageMargins left="0.2362204724409449" right="0.1968503937007874" top="0.9448818897637796" bottom="0.35433070866141736" header="0.35433070866141736" footer="0.1968503937007874"/>
  <pageSetup horizontalDpi="600" verticalDpi="600" orientation="portrait" paperSize="9" scale="75" r:id="rId1"/>
  <rowBreaks count="1" manualBreakCount="1">
    <brk id="66" max="1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workbookViewId="0" topLeftCell="A1">
      <selection activeCell="A3" sqref="A3:K51"/>
    </sheetView>
  </sheetViews>
  <sheetFormatPr defaultColWidth="9.140625" defaultRowHeight="12.75"/>
  <cols>
    <col min="1" max="16384" width="9.140625" style="111" customWidth="1"/>
  </cols>
  <sheetData>
    <row r="1" spans="1:12" ht="15.75">
      <c r="A1" s="237" t="s">
        <v>75</v>
      </c>
      <c r="B1" s="237"/>
      <c r="C1" s="237"/>
      <c r="D1" s="237"/>
      <c r="E1" s="237"/>
      <c r="F1" s="237"/>
      <c r="G1" s="237"/>
      <c r="H1" s="237"/>
      <c r="I1" s="237"/>
      <c r="J1" s="248"/>
      <c r="K1" s="248"/>
      <c r="L1" s="248"/>
    </row>
    <row r="2" spans="1:12" ht="15.75">
      <c r="A2" s="97"/>
      <c r="B2" s="97"/>
      <c r="C2" s="97"/>
      <c r="D2" s="245" t="s">
        <v>385</v>
      </c>
      <c r="E2" s="246"/>
      <c r="F2" s="240" t="s">
        <v>410</v>
      </c>
      <c r="G2" s="247"/>
      <c r="H2" s="103" t="s">
        <v>332</v>
      </c>
      <c r="I2" s="240" t="s">
        <v>408</v>
      </c>
      <c r="J2" s="247"/>
      <c r="K2" s="100"/>
      <c r="L2" s="100"/>
    </row>
    <row r="3" spans="1:11" ht="24" customHeight="1" thickBot="1">
      <c r="A3" s="242" t="s">
        <v>178</v>
      </c>
      <c r="B3" s="243"/>
      <c r="C3" s="243"/>
      <c r="D3" s="243"/>
      <c r="E3" s="243"/>
      <c r="F3" s="243"/>
      <c r="G3" s="243"/>
      <c r="H3" s="244"/>
      <c r="I3" s="107" t="s">
        <v>390</v>
      </c>
      <c r="J3" s="108" t="s">
        <v>52</v>
      </c>
      <c r="K3" s="108" t="s">
        <v>53</v>
      </c>
    </row>
    <row r="4" spans="1:11" ht="12.75">
      <c r="A4" s="233">
        <v>1</v>
      </c>
      <c r="B4" s="233"/>
      <c r="C4" s="233"/>
      <c r="D4" s="233"/>
      <c r="E4" s="233"/>
      <c r="F4" s="233"/>
      <c r="G4" s="233"/>
      <c r="H4" s="233"/>
      <c r="I4" s="110">
        <v>2</v>
      </c>
      <c r="J4" s="109">
        <v>3</v>
      </c>
      <c r="K4" s="109">
        <v>4</v>
      </c>
    </row>
    <row r="5" spans="1:11" ht="12.75">
      <c r="A5" s="207" t="s">
        <v>76</v>
      </c>
      <c r="B5" s="208"/>
      <c r="C5" s="208"/>
      <c r="D5" s="208"/>
      <c r="E5" s="208"/>
      <c r="F5" s="208"/>
      <c r="G5" s="208"/>
      <c r="H5" s="227"/>
      <c r="I5" s="6">
        <v>107</v>
      </c>
      <c r="J5" s="38">
        <f>SUM(J6:J8)</f>
        <v>44884360</v>
      </c>
      <c r="K5" s="39">
        <f>SUM(K6:K8)</f>
        <v>44139333</v>
      </c>
    </row>
    <row r="6" spans="1:11" ht="12.75">
      <c r="A6" s="217" t="s">
        <v>54</v>
      </c>
      <c r="B6" s="218"/>
      <c r="C6" s="218"/>
      <c r="D6" s="218"/>
      <c r="E6" s="218"/>
      <c r="F6" s="218"/>
      <c r="G6" s="218"/>
      <c r="H6" s="219"/>
      <c r="I6" s="4">
        <v>108</v>
      </c>
      <c r="J6" s="29">
        <v>43701866</v>
      </c>
      <c r="K6" s="29">
        <f>7277581+35913597+44855</f>
        <v>43236033</v>
      </c>
    </row>
    <row r="7" spans="1:11" ht="12.75">
      <c r="A7" s="217" t="s">
        <v>55</v>
      </c>
      <c r="B7" s="218"/>
      <c r="C7" s="218"/>
      <c r="D7" s="218"/>
      <c r="E7" s="218"/>
      <c r="F7" s="218"/>
      <c r="G7" s="218"/>
      <c r="H7" s="219"/>
      <c r="I7" s="4">
        <v>109</v>
      </c>
      <c r="J7" s="29">
        <v>29511</v>
      </c>
      <c r="K7" s="29">
        <v>29559</v>
      </c>
    </row>
    <row r="8" spans="1:11" ht="12.75">
      <c r="A8" s="217" t="s">
        <v>56</v>
      </c>
      <c r="B8" s="218"/>
      <c r="C8" s="218"/>
      <c r="D8" s="218"/>
      <c r="E8" s="218"/>
      <c r="F8" s="218"/>
      <c r="G8" s="218"/>
      <c r="H8" s="219"/>
      <c r="I8" s="4">
        <v>110</v>
      </c>
      <c r="J8" s="22">
        <v>1152983</v>
      </c>
      <c r="K8" s="29">
        <f>415892+210609+247240</f>
        <v>873741</v>
      </c>
    </row>
    <row r="9" spans="1:11" ht="12.75">
      <c r="A9" s="217" t="s">
        <v>51</v>
      </c>
      <c r="B9" s="218"/>
      <c r="C9" s="218"/>
      <c r="D9" s="218"/>
      <c r="E9" s="218"/>
      <c r="F9" s="218"/>
      <c r="G9" s="218"/>
      <c r="H9" s="219"/>
      <c r="I9" s="4">
        <v>111</v>
      </c>
      <c r="J9" s="23">
        <f>J10-J11+J12+J16+J20+J21+J22+J25+J26</f>
        <v>48734022</v>
      </c>
      <c r="K9" s="28">
        <f>K10-K11+K12+K16+K20+K21+K22+K25+K26</f>
        <v>47116371</v>
      </c>
    </row>
    <row r="10" spans="1:11" ht="12.75">
      <c r="A10" s="217" t="s">
        <v>79</v>
      </c>
      <c r="B10" s="218"/>
      <c r="C10" s="218"/>
      <c r="D10" s="218"/>
      <c r="E10" s="218"/>
      <c r="F10" s="218"/>
      <c r="G10" s="218"/>
      <c r="H10" s="219"/>
      <c r="I10" s="4">
        <v>112</v>
      </c>
      <c r="J10" s="22"/>
      <c r="K10" s="29"/>
    </row>
    <row r="11" spans="1:11" ht="12.75">
      <c r="A11" s="217" t="s">
        <v>80</v>
      </c>
      <c r="B11" s="218"/>
      <c r="C11" s="218"/>
      <c r="D11" s="218"/>
      <c r="E11" s="218"/>
      <c r="F11" s="218"/>
      <c r="G11" s="218"/>
      <c r="H11" s="219"/>
      <c r="I11" s="4">
        <v>113</v>
      </c>
      <c r="J11" s="22"/>
      <c r="K11" s="29"/>
    </row>
    <row r="12" spans="1:11" ht="12.75">
      <c r="A12" s="217" t="s">
        <v>57</v>
      </c>
      <c r="B12" s="218"/>
      <c r="C12" s="218"/>
      <c r="D12" s="218"/>
      <c r="E12" s="218"/>
      <c r="F12" s="218"/>
      <c r="G12" s="218"/>
      <c r="H12" s="219"/>
      <c r="I12" s="4">
        <v>114</v>
      </c>
      <c r="J12" s="23">
        <f>SUM(J13:J15)</f>
        <v>16449109</v>
      </c>
      <c r="K12" s="28">
        <f>SUM(K13:K15)</f>
        <v>15500513</v>
      </c>
    </row>
    <row r="13" spans="1:11" ht="12.75">
      <c r="A13" s="211" t="s">
        <v>58</v>
      </c>
      <c r="B13" s="212"/>
      <c r="C13" s="212"/>
      <c r="D13" s="212"/>
      <c r="E13" s="212"/>
      <c r="F13" s="212"/>
      <c r="G13" s="212"/>
      <c r="H13" s="213"/>
      <c r="I13" s="4">
        <v>115</v>
      </c>
      <c r="J13" s="29">
        <v>6624166</v>
      </c>
      <c r="K13" s="29">
        <v>6474448</v>
      </c>
    </row>
    <row r="14" spans="1:11" ht="12.75">
      <c r="A14" s="211" t="s">
        <v>59</v>
      </c>
      <c r="B14" s="212"/>
      <c r="C14" s="212"/>
      <c r="D14" s="212"/>
      <c r="E14" s="212"/>
      <c r="F14" s="212"/>
      <c r="G14" s="212"/>
      <c r="H14" s="213"/>
      <c r="I14" s="4">
        <v>116</v>
      </c>
      <c r="J14" s="29">
        <v>178501</v>
      </c>
      <c r="K14" s="29">
        <v>162052</v>
      </c>
    </row>
    <row r="15" spans="1:11" ht="12.75">
      <c r="A15" s="211" t="s">
        <v>182</v>
      </c>
      <c r="B15" s="212"/>
      <c r="C15" s="212"/>
      <c r="D15" s="212"/>
      <c r="E15" s="212"/>
      <c r="F15" s="212"/>
      <c r="G15" s="212"/>
      <c r="H15" s="213"/>
      <c r="I15" s="4">
        <v>117</v>
      </c>
      <c r="J15" s="29">
        <v>9646442</v>
      </c>
      <c r="K15" s="29">
        <f>3813588+5050425</f>
        <v>8864013</v>
      </c>
    </row>
    <row r="16" spans="1:11" ht="12.75">
      <c r="A16" s="217" t="s">
        <v>183</v>
      </c>
      <c r="B16" s="218"/>
      <c r="C16" s="218"/>
      <c r="D16" s="218"/>
      <c r="E16" s="218"/>
      <c r="F16" s="218"/>
      <c r="G16" s="218"/>
      <c r="H16" s="219"/>
      <c r="I16" s="4">
        <v>118</v>
      </c>
      <c r="J16" s="23">
        <f>SUM(J17:J19)</f>
        <v>24371320</v>
      </c>
      <c r="K16" s="28">
        <f>SUM(K17:K19)</f>
        <v>23801921</v>
      </c>
    </row>
    <row r="17" spans="1:11" ht="12.75">
      <c r="A17" s="211" t="s">
        <v>184</v>
      </c>
      <c r="B17" s="212"/>
      <c r="C17" s="212"/>
      <c r="D17" s="212"/>
      <c r="E17" s="212"/>
      <c r="F17" s="212"/>
      <c r="G17" s="212"/>
      <c r="H17" s="213"/>
      <c r="I17" s="4">
        <v>119</v>
      </c>
      <c r="J17" s="29">
        <f>24371320-6943822-3586915</f>
        <v>13840583</v>
      </c>
      <c r="K17" s="29">
        <f>23801921-6482315-3514775</f>
        <v>13804831</v>
      </c>
    </row>
    <row r="18" spans="1:11" ht="12.75">
      <c r="A18" s="211" t="s">
        <v>185</v>
      </c>
      <c r="B18" s="212"/>
      <c r="C18" s="212"/>
      <c r="D18" s="212"/>
      <c r="E18" s="212"/>
      <c r="F18" s="212"/>
      <c r="G18" s="212"/>
      <c r="H18" s="213"/>
      <c r="I18" s="4">
        <v>120</v>
      </c>
      <c r="J18" s="29">
        <f>4164548+2279991+301415+197868</f>
        <v>6943822</v>
      </c>
      <c r="K18" s="29">
        <f>4062893+2151265+268157</f>
        <v>6482315</v>
      </c>
    </row>
    <row r="19" spans="1:11" ht="12.75">
      <c r="A19" s="211" t="s">
        <v>186</v>
      </c>
      <c r="B19" s="212"/>
      <c r="C19" s="212"/>
      <c r="D19" s="212"/>
      <c r="E19" s="212"/>
      <c r="F19" s="212"/>
      <c r="G19" s="212"/>
      <c r="H19" s="213"/>
      <c r="I19" s="4">
        <v>121</v>
      </c>
      <c r="J19" s="29">
        <v>3586915</v>
      </c>
      <c r="K19" s="29">
        <v>3514775</v>
      </c>
    </row>
    <row r="20" spans="1:11" ht="12.75">
      <c r="A20" s="217" t="s">
        <v>78</v>
      </c>
      <c r="B20" s="218"/>
      <c r="C20" s="218"/>
      <c r="D20" s="218"/>
      <c r="E20" s="218"/>
      <c r="F20" s="218"/>
      <c r="G20" s="218"/>
      <c r="H20" s="219"/>
      <c r="I20" s="4">
        <v>122</v>
      </c>
      <c r="J20" s="29">
        <v>5312451</v>
      </c>
      <c r="K20" s="29">
        <v>4969047</v>
      </c>
    </row>
    <row r="21" spans="1:11" ht="12.75">
      <c r="A21" s="217" t="s">
        <v>77</v>
      </c>
      <c r="B21" s="218"/>
      <c r="C21" s="218"/>
      <c r="D21" s="218"/>
      <c r="E21" s="218"/>
      <c r="F21" s="218"/>
      <c r="G21" s="218"/>
      <c r="H21" s="219"/>
      <c r="I21" s="4">
        <v>123</v>
      </c>
      <c r="J21" s="29">
        <v>1931515</v>
      </c>
      <c r="K21" s="29">
        <f>1293336+623555</f>
        <v>1916891</v>
      </c>
    </row>
    <row r="22" spans="1:11" ht="12.75">
      <c r="A22" s="217" t="s">
        <v>164</v>
      </c>
      <c r="B22" s="218"/>
      <c r="C22" s="218"/>
      <c r="D22" s="218"/>
      <c r="E22" s="218"/>
      <c r="F22" s="218"/>
      <c r="G22" s="218"/>
      <c r="H22" s="219"/>
      <c r="I22" s="4">
        <v>124</v>
      </c>
      <c r="J22" s="23">
        <f>SUM(J23:J24)</f>
        <v>0</v>
      </c>
      <c r="K22" s="28">
        <f>SUM(K23:K24)</f>
        <v>0</v>
      </c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3"/>
      <c r="I23" s="4">
        <v>125</v>
      </c>
      <c r="J23" s="22"/>
      <c r="K23" s="29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3"/>
      <c r="I24" s="4">
        <v>126</v>
      </c>
      <c r="J24" s="22"/>
      <c r="K24" s="29"/>
    </row>
    <row r="25" spans="1:11" ht="12.75">
      <c r="A25" s="217" t="s">
        <v>167</v>
      </c>
      <c r="B25" s="218"/>
      <c r="C25" s="218"/>
      <c r="D25" s="218"/>
      <c r="E25" s="218"/>
      <c r="F25" s="218"/>
      <c r="G25" s="218"/>
      <c r="H25" s="219"/>
      <c r="I25" s="4">
        <v>127</v>
      </c>
      <c r="J25" s="22"/>
      <c r="K25" s="29">
        <v>616200</v>
      </c>
    </row>
    <row r="26" spans="1:11" ht="12.75">
      <c r="A26" s="217" t="s">
        <v>168</v>
      </c>
      <c r="B26" s="218"/>
      <c r="C26" s="218"/>
      <c r="D26" s="218"/>
      <c r="E26" s="218"/>
      <c r="F26" s="218"/>
      <c r="G26" s="218"/>
      <c r="H26" s="219"/>
      <c r="I26" s="4">
        <v>128</v>
      </c>
      <c r="J26" s="29">
        <v>669627</v>
      </c>
      <c r="K26" s="29">
        <f>230827+80972</f>
        <v>311799</v>
      </c>
    </row>
    <row r="27" spans="1:11" ht="12.75">
      <c r="A27" s="217" t="s">
        <v>370</v>
      </c>
      <c r="B27" s="218"/>
      <c r="C27" s="218"/>
      <c r="D27" s="218"/>
      <c r="E27" s="218"/>
      <c r="F27" s="218"/>
      <c r="G27" s="218"/>
      <c r="H27" s="219"/>
      <c r="I27" s="4">
        <v>129</v>
      </c>
      <c r="J27" s="23">
        <f>SUM(J28:J32)</f>
        <v>2407171</v>
      </c>
      <c r="K27" s="28">
        <f>SUM(K28:K32)</f>
        <v>361943</v>
      </c>
    </row>
    <row r="28" spans="1:11" ht="12.75">
      <c r="A28" s="217" t="s">
        <v>169</v>
      </c>
      <c r="B28" s="218"/>
      <c r="C28" s="218"/>
      <c r="D28" s="218"/>
      <c r="E28" s="218"/>
      <c r="F28" s="218"/>
      <c r="G28" s="218"/>
      <c r="H28" s="219"/>
      <c r="I28" s="4">
        <v>130</v>
      </c>
      <c r="J28" s="22"/>
      <c r="K28" s="29"/>
    </row>
    <row r="29" spans="1:11" ht="12.75">
      <c r="A29" s="217" t="s">
        <v>81</v>
      </c>
      <c r="B29" s="218"/>
      <c r="C29" s="218"/>
      <c r="D29" s="218"/>
      <c r="E29" s="218"/>
      <c r="F29" s="218"/>
      <c r="G29" s="218"/>
      <c r="H29" s="219"/>
      <c r="I29" s="4">
        <v>131</v>
      </c>
      <c r="J29" s="29">
        <v>2340142</v>
      </c>
      <c r="K29" s="29">
        <v>351470</v>
      </c>
    </row>
    <row r="30" spans="1:11" ht="12.75">
      <c r="A30" s="217" t="s">
        <v>170</v>
      </c>
      <c r="B30" s="218"/>
      <c r="C30" s="218"/>
      <c r="D30" s="218"/>
      <c r="E30" s="218"/>
      <c r="F30" s="218"/>
      <c r="G30" s="218"/>
      <c r="H30" s="219"/>
      <c r="I30" s="4">
        <v>132</v>
      </c>
      <c r="J30" s="29"/>
      <c r="K30" s="29"/>
    </row>
    <row r="31" spans="1:11" ht="12.75">
      <c r="A31" s="217" t="s">
        <v>171</v>
      </c>
      <c r="B31" s="218"/>
      <c r="C31" s="218"/>
      <c r="D31" s="218"/>
      <c r="E31" s="218"/>
      <c r="F31" s="218"/>
      <c r="G31" s="218"/>
      <c r="H31" s="219"/>
      <c r="I31" s="4">
        <v>133</v>
      </c>
      <c r="J31" s="29">
        <v>64666</v>
      </c>
      <c r="K31" s="29">
        <v>10473</v>
      </c>
    </row>
    <row r="32" spans="1:11" ht="12.75">
      <c r="A32" s="217" t="s">
        <v>172</v>
      </c>
      <c r="B32" s="218"/>
      <c r="C32" s="218"/>
      <c r="D32" s="218"/>
      <c r="E32" s="218"/>
      <c r="F32" s="218"/>
      <c r="G32" s="218"/>
      <c r="H32" s="219"/>
      <c r="I32" s="4">
        <v>134</v>
      </c>
      <c r="J32" s="29">
        <v>2363</v>
      </c>
      <c r="K32" s="29"/>
    </row>
    <row r="33" spans="1:11" ht="12.75">
      <c r="A33" s="217" t="s">
        <v>371</v>
      </c>
      <c r="B33" s="218"/>
      <c r="C33" s="218"/>
      <c r="D33" s="218"/>
      <c r="E33" s="218"/>
      <c r="F33" s="218"/>
      <c r="G33" s="218"/>
      <c r="H33" s="219"/>
      <c r="I33" s="4">
        <v>135</v>
      </c>
      <c r="J33" s="23">
        <f>SUM(J34:J37)</f>
        <v>5523613</v>
      </c>
      <c r="K33" s="28">
        <f>SUM(K34:K37)</f>
        <v>5477820</v>
      </c>
    </row>
    <row r="34" spans="1:11" ht="12.75">
      <c r="A34" s="217" t="s">
        <v>188</v>
      </c>
      <c r="B34" s="218"/>
      <c r="C34" s="218"/>
      <c r="D34" s="218"/>
      <c r="E34" s="218"/>
      <c r="F34" s="218"/>
      <c r="G34" s="218"/>
      <c r="H34" s="219"/>
      <c r="I34" s="4">
        <v>136</v>
      </c>
      <c r="J34" s="29">
        <v>2333795</v>
      </c>
      <c r="K34" s="29">
        <v>2524050</v>
      </c>
    </row>
    <row r="35" spans="1:11" ht="12.75">
      <c r="A35" s="217" t="s">
        <v>187</v>
      </c>
      <c r="B35" s="218"/>
      <c r="C35" s="218"/>
      <c r="D35" s="218"/>
      <c r="E35" s="218"/>
      <c r="F35" s="218"/>
      <c r="G35" s="218"/>
      <c r="H35" s="219"/>
      <c r="I35" s="4">
        <v>137</v>
      </c>
      <c r="J35" s="29">
        <v>2230644</v>
      </c>
      <c r="K35" s="29">
        <f>2687074+887-276</f>
        <v>2687685</v>
      </c>
    </row>
    <row r="36" spans="1:11" ht="12.75">
      <c r="A36" s="217" t="s">
        <v>189</v>
      </c>
      <c r="B36" s="218"/>
      <c r="C36" s="218"/>
      <c r="D36" s="218"/>
      <c r="E36" s="218"/>
      <c r="F36" s="218"/>
      <c r="G36" s="218"/>
      <c r="H36" s="219"/>
      <c r="I36" s="4">
        <v>138</v>
      </c>
      <c r="J36" s="29"/>
      <c r="K36" s="29"/>
    </row>
    <row r="37" spans="1:11" ht="12.75">
      <c r="A37" s="217" t="s">
        <v>190</v>
      </c>
      <c r="B37" s="218"/>
      <c r="C37" s="218"/>
      <c r="D37" s="218"/>
      <c r="E37" s="218"/>
      <c r="F37" s="218"/>
      <c r="G37" s="218"/>
      <c r="H37" s="219"/>
      <c r="I37" s="4">
        <v>139</v>
      </c>
      <c r="J37" s="29">
        <v>959174</v>
      </c>
      <c r="K37" s="29">
        <v>266085</v>
      </c>
    </row>
    <row r="38" spans="1:11" ht="12.75">
      <c r="A38" s="217" t="s">
        <v>193</v>
      </c>
      <c r="B38" s="218"/>
      <c r="C38" s="218"/>
      <c r="D38" s="218"/>
      <c r="E38" s="218"/>
      <c r="F38" s="218"/>
      <c r="G38" s="218"/>
      <c r="H38" s="219"/>
      <c r="I38" s="4">
        <v>140</v>
      </c>
      <c r="J38" s="22"/>
      <c r="K38" s="29"/>
    </row>
    <row r="39" spans="1:11" ht="12.75">
      <c r="A39" s="217" t="s">
        <v>192</v>
      </c>
      <c r="B39" s="218"/>
      <c r="C39" s="218"/>
      <c r="D39" s="218"/>
      <c r="E39" s="218"/>
      <c r="F39" s="218"/>
      <c r="G39" s="218"/>
      <c r="H39" s="219"/>
      <c r="I39" s="4">
        <v>141</v>
      </c>
      <c r="J39" s="22"/>
      <c r="K39" s="29"/>
    </row>
    <row r="40" spans="1:11" ht="12.75">
      <c r="A40" s="217" t="s">
        <v>191</v>
      </c>
      <c r="B40" s="218"/>
      <c r="C40" s="218"/>
      <c r="D40" s="218"/>
      <c r="E40" s="218"/>
      <c r="F40" s="218"/>
      <c r="G40" s="218"/>
      <c r="H40" s="219"/>
      <c r="I40" s="4">
        <v>142</v>
      </c>
      <c r="J40" s="23">
        <f>J5+J27+J38</f>
        <v>47291531</v>
      </c>
      <c r="K40" s="28">
        <f>K5+K27+K38</f>
        <v>44501276</v>
      </c>
    </row>
    <row r="41" spans="1:11" ht="12.75">
      <c r="A41" s="217" t="s">
        <v>372</v>
      </c>
      <c r="B41" s="218"/>
      <c r="C41" s="218"/>
      <c r="D41" s="218"/>
      <c r="E41" s="218"/>
      <c r="F41" s="218"/>
      <c r="G41" s="218"/>
      <c r="H41" s="219"/>
      <c r="I41" s="4">
        <v>143</v>
      </c>
      <c r="J41" s="23">
        <f>J9+J33+J39</f>
        <v>54257635</v>
      </c>
      <c r="K41" s="28">
        <f>K9+K33+K39</f>
        <v>52594191</v>
      </c>
    </row>
    <row r="42" spans="1:11" ht="12.75">
      <c r="A42" s="217" t="s">
        <v>194</v>
      </c>
      <c r="B42" s="218"/>
      <c r="C42" s="218"/>
      <c r="D42" s="218"/>
      <c r="E42" s="218"/>
      <c r="F42" s="218"/>
      <c r="G42" s="218"/>
      <c r="H42" s="219"/>
      <c r="I42" s="4">
        <v>144</v>
      </c>
      <c r="J42" s="23">
        <f>IF(J40&gt;J41,J40-J41,0)</f>
        <v>0</v>
      </c>
      <c r="K42" s="28">
        <f>IF(K40&gt;K41,K40-K41,0)</f>
        <v>0</v>
      </c>
    </row>
    <row r="43" spans="1:11" ht="12.75">
      <c r="A43" s="217" t="s">
        <v>60</v>
      </c>
      <c r="B43" s="218"/>
      <c r="C43" s="218"/>
      <c r="D43" s="218"/>
      <c r="E43" s="218"/>
      <c r="F43" s="218"/>
      <c r="G43" s="218"/>
      <c r="H43" s="219"/>
      <c r="I43" s="4">
        <v>145</v>
      </c>
      <c r="J43" s="23">
        <f>IF(J41&gt;J40,J41-J40,0)</f>
        <v>6966104</v>
      </c>
      <c r="K43" s="28">
        <f>IF(K41&gt;K40,K41-K40,0)</f>
        <v>8092915</v>
      </c>
    </row>
    <row r="44" spans="1:11" ht="12.75">
      <c r="A44" s="217" t="s">
        <v>61</v>
      </c>
      <c r="B44" s="218"/>
      <c r="C44" s="218"/>
      <c r="D44" s="218"/>
      <c r="E44" s="218"/>
      <c r="F44" s="218"/>
      <c r="G44" s="218"/>
      <c r="H44" s="219"/>
      <c r="I44" s="4">
        <v>146</v>
      </c>
      <c r="J44" s="22"/>
      <c r="K44" s="29"/>
    </row>
    <row r="45" spans="1:11" ht="12.75">
      <c r="A45" s="217" t="s">
        <v>62</v>
      </c>
      <c r="B45" s="218"/>
      <c r="C45" s="218"/>
      <c r="D45" s="218"/>
      <c r="E45" s="218"/>
      <c r="F45" s="218"/>
      <c r="G45" s="218"/>
      <c r="H45" s="219"/>
      <c r="I45" s="4">
        <v>147</v>
      </c>
      <c r="J45" s="23">
        <f>IF(J42-J43-J44&gt;0,J42-J43-J44,0)</f>
        <v>0</v>
      </c>
      <c r="K45" s="28">
        <f>IF(K42-K43-K44&gt;0,K42-K43-K44,0)</f>
        <v>0</v>
      </c>
    </row>
    <row r="46" spans="1:11" ht="12.75">
      <c r="A46" s="228" t="s">
        <v>373</v>
      </c>
      <c r="B46" s="229"/>
      <c r="C46" s="229"/>
      <c r="D46" s="229"/>
      <c r="E46" s="229"/>
      <c r="F46" s="229"/>
      <c r="G46" s="229"/>
      <c r="H46" s="230"/>
      <c r="I46" s="7">
        <v>148</v>
      </c>
      <c r="J46" s="24">
        <f>IF(J43+J44-J42&gt;0,J43+J44-J42,0)</f>
        <v>6966104</v>
      </c>
      <c r="K46" s="33">
        <f>IF(K43+K44-K42&gt;0,K43+K44-K42,0)</f>
        <v>8092915</v>
      </c>
    </row>
    <row r="47" spans="1:11" ht="12.75" customHeight="1">
      <c r="A47" s="223" t="s">
        <v>374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49"/>
    </row>
    <row r="48" spans="1:11" ht="12.75">
      <c r="A48" s="207" t="s">
        <v>72</v>
      </c>
      <c r="B48" s="208"/>
      <c r="C48" s="208"/>
      <c r="D48" s="208"/>
      <c r="E48" s="208"/>
      <c r="F48" s="208"/>
      <c r="G48" s="208"/>
      <c r="H48" s="227"/>
      <c r="I48" s="112">
        <v>149</v>
      </c>
      <c r="J48" s="25"/>
      <c r="K48" s="27"/>
    </row>
    <row r="49" spans="1:11" ht="12.75">
      <c r="A49" s="217" t="s">
        <v>63</v>
      </c>
      <c r="B49" s="218"/>
      <c r="C49" s="218"/>
      <c r="D49" s="218"/>
      <c r="E49" s="218"/>
      <c r="F49" s="218"/>
      <c r="G49" s="218"/>
      <c r="H49" s="219"/>
      <c r="I49" s="4">
        <v>150</v>
      </c>
      <c r="J49" s="22"/>
      <c r="K49" s="29"/>
    </row>
    <row r="50" spans="1:11" ht="12.75">
      <c r="A50" s="217" t="s">
        <v>73</v>
      </c>
      <c r="B50" s="218"/>
      <c r="C50" s="218"/>
      <c r="D50" s="218"/>
      <c r="E50" s="218"/>
      <c r="F50" s="218"/>
      <c r="G50" s="218"/>
      <c r="H50" s="219"/>
      <c r="I50" s="4">
        <v>151</v>
      </c>
      <c r="J50" s="22"/>
      <c r="K50" s="29"/>
    </row>
    <row r="51" spans="1:11" ht="12.75">
      <c r="A51" s="228" t="s">
        <v>50</v>
      </c>
      <c r="B51" s="229"/>
      <c r="C51" s="229"/>
      <c r="D51" s="229"/>
      <c r="E51" s="229"/>
      <c r="F51" s="229"/>
      <c r="G51" s="229"/>
      <c r="H51" s="230"/>
      <c r="I51" s="7">
        <v>152</v>
      </c>
      <c r="J51" s="26"/>
      <c r="K51" s="32"/>
    </row>
  </sheetData>
  <sheetProtection/>
  <protectedRanges>
    <protectedRange sqref="I2:J2 F2:G2" name="Range1_1"/>
  </protectedRanges>
  <mergeCells count="53">
    <mergeCell ref="A45:H45"/>
    <mergeCell ref="A46:H46"/>
    <mergeCell ref="A41:H41"/>
    <mergeCell ref="A42:H42"/>
    <mergeCell ref="A51:H51"/>
    <mergeCell ref="A1:L1"/>
    <mergeCell ref="A47:K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D2:E2"/>
    <mergeCell ref="I2:J2"/>
    <mergeCell ref="A3:H3"/>
    <mergeCell ref="A4:H4"/>
    <mergeCell ref="F2:G2"/>
  </mergeCells>
  <conditionalFormatting sqref="I2 F2">
    <cfRule type="cellIs" priority="1" dxfId="2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8:K51 J45:K46 J5:K43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workbookViewId="0" topLeftCell="A1">
      <selection activeCell="A1" sqref="A1:K1"/>
    </sheetView>
  </sheetViews>
  <sheetFormatPr defaultColWidth="9.140625" defaultRowHeight="12.75"/>
  <cols>
    <col min="1" max="16384" width="9.140625" style="115" customWidth="1"/>
  </cols>
  <sheetData>
    <row r="1" spans="1:11" ht="15.75">
      <c r="A1" s="266" t="s">
        <v>227</v>
      </c>
      <c r="B1" s="267"/>
      <c r="C1" s="267"/>
      <c r="D1" s="267"/>
      <c r="E1" s="267"/>
      <c r="F1" s="267"/>
      <c r="G1" s="267"/>
      <c r="H1" s="267"/>
      <c r="I1" s="267"/>
      <c r="J1" s="268"/>
      <c r="K1" s="269"/>
    </row>
    <row r="2" spans="1:11" ht="15.75" customHeight="1">
      <c r="A2" s="101"/>
      <c r="B2" s="113"/>
      <c r="C2" s="254" t="s">
        <v>386</v>
      </c>
      <c r="D2" s="254"/>
      <c r="E2" s="250"/>
      <c r="F2" s="255"/>
      <c r="G2" s="104" t="s">
        <v>332</v>
      </c>
      <c r="H2" s="250"/>
      <c r="I2" s="251"/>
      <c r="J2" s="114"/>
      <c r="K2" s="116"/>
    </row>
    <row r="3" spans="1:11" s="120" customFormat="1" ht="24" thickBot="1">
      <c r="A3" s="252" t="s">
        <v>178</v>
      </c>
      <c r="B3" s="252"/>
      <c r="C3" s="252"/>
      <c r="D3" s="252"/>
      <c r="E3" s="252"/>
      <c r="F3" s="252"/>
      <c r="G3" s="252"/>
      <c r="H3" s="252"/>
      <c r="I3" s="118" t="s">
        <v>392</v>
      </c>
      <c r="J3" s="119" t="s">
        <v>52</v>
      </c>
      <c r="K3" s="119" t="s">
        <v>53</v>
      </c>
    </row>
    <row r="4" spans="1:11" s="120" customFormat="1" ht="12.75">
      <c r="A4" s="253">
        <v>1</v>
      </c>
      <c r="B4" s="253"/>
      <c r="C4" s="253"/>
      <c r="D4" s="253"/>
      <c r="E4" s="253"/>
      <c r="F4" s="253"/>
      <c r="G4" s="253"/>
      <c r="H4" s="253"/>
      <c r="I4" s="121">
        <v>2</v>
      </c>
      <c r="J4" s="122" t="s">
        <v>104</v>
      </c>
      <c r="K4" s="122" t="s">
        <v>105</v>
      </c>
    </row>
    <row r="5" spans="1:11" s="120" customFormat="1" ht="12.75">
      <c r="A5" s="256" t="s">
        <v>82</v>
      </c>
      <c r="B5" s="257"/>
      <c r="C5" s="257"/>
      <c r="D5" s="257"/>
      <c r="E5" s="257"/>
      <c r="F5" s="257"/>
      <c r="G5" s="257"/>
      <c r="H5" s="257"/>
      <c r="I5" s="258"/>
      <c r="J5" s="258"/>
      <c r="K5" s="259"/>
    </row>
    <row r="6" spans="1:11" ht="12.75">
      <c r="A6" s="260" t="s">
        <v>246</v>
      </c>
      <c r="B6" s="261"/>
      <c r="C6" s="261"/>
      <c r="D6" s="261"/>
      <c r="E6" s="261"/>
      <c r="F6" s="261"/>
      <c r="G6" s="261"/>
      <c r="H6" s="261"/>
      <c r="I6" s="123">
        <v>1</v>
      </c>
      <c r="J6" s="124"/>
      <c r="K6" s="125"/>
    </row>
    <row r="7" spans="1:11" ht="12.75">
      <c r="A7" s="260" t="s">
        <v>247</v>
      </c>
      <c r="B7" s="261"/>
      <c r="C7" s="261"/>
      <c r="D7" s="261"/>
      <c r="E7" s="261"/>
      <c r="F7" s="261"/>
      <c r="G7" s="261"/>
      <c r="H7" s="261"/>
      <c r="I7" s="123">
        <v>2</v>
      </c>
      <c r="J7" s="124"/>
      <c r="K7" s="125"/>
    </row>
    <row r="8" spans="1:11" ht="12.75">
      <c r="A8" s="260" t="s">
        <v>248</v>
      </c>
      <c r="B8" s="261"/>
      <c r="C8" s="261"/>
      <c r="D8" s="261"/>
      <c r="E8" s="261"/>
      <c r="F8" s="261"/>
      <c r="G8" s="261"/>
      <c r="H8" s="261"/>
      <c r="I8" s="123">
        <v>3</v>
      </c>
      <c r="J8" s="124"/>
      <c r="K8" s="125"/>
    </row>
    <row r="9" spans="1:11" ht="12.75">
      <c r="A9" s="260" t="s">
        <v>249</v>
      </c>
      <c r="B9" s="261"/>
      <c r="C9" s="261"/>
      <c r="D9" s="261"/>
      <c r="E9" s="261"/>
      <c r="F9" s="261"/>
      <c r="G9" s="261"/>
      <c r="H9" s="261"/>
      <c r="I9" s="123">
        <v>4</v>
      </c>
      <c r="J9" s="124"/>
      <c r="K9" s="125"/>
    </row>
    <row r="10" spans="1:11" ht="12.75">
      <c r="A10" s="260" t="s">
        <v>250</v>
      </c>
      <c r="B10" s="261"/>
      <c r="C10" s="261"/>
      <c r="D10" s="261"/>
      <c r="E10" s="261"/>
      <c r="F10" s="261"/>
      <c r="G10" s="261"/>
      <c r="H10" s="261"/>
      <c r="I10" s="123">
        <v>5</v>
      </c>
      <c r="J10" s="124"/>
      <c r="K10" s="125"/>
    </row>
    <row r="11" spans="1:11" ht="12.75">
      <c r="A11" s="260" t="s">
        <v>251</v>
      </c>
      <c r="B11" s="261"/>
      <c r="C11" s="261"/>
      <c r="D11" s="261"/>
      <c r="E11" s="261"/>
      <c r="F11" s="261"/>
      <c r="G11" s="261"/>
      <c r="H11" s="261"/>
      <c r="I11" s="123">
        <v>6</v>
      </c>
      <c r="J11" s="124"/>
      <c r="K11" s="125"/>
    </row>
    <row r="12" spans="1:11" ht="12.75">
      <c r="A12" s="262" t="s">
        <v>83</v>
      </c>
      <c r="B12" s="263"/>
      <c r="C12" s="263"/>
      <c r="D12" s="263"/>
      <c r="E12" s="263"/>
      <c r="F12" s="263"/>
      <c r="G12" s="263"/>
      <c r="H12" s="263"/>
      <c r="I12" s="123">
        <v>7</v>
      </c>
      <c r="J12" s="126">
        <f>SUM(J6:J11)</f>
        <v>0</v>
      </c>
      <c r="K12" s="127">
        <f>SUM(K6:K11)</f>
        <v>0</v>
      </c>
    </row>
    <row r="13" spans="1:11" ht="12.75">
      <c r="A13" s="260" t="s">
        <v>252</v>
      </c>
      <c r="B13" s="261"/>
      <c r="C13" s="261"/>
      <c r="D13" s="261"/>
      <c r="E13" s="261"/>
      <c r="F13" s="261"/>
      <c r="G13" s="261"/>
      <c r="H13" s="261"/>
      <c r="I13" s="123">
        <v>8</v>
      </c>
      <c r="J13" s="124"/>
      <c r="K13" s="125"/>
    </row>
    <row r="14" spans="1:11" ht="12.75">
      <c r="A14" s="260" t="s">
        <v>253</v>
      </c>
      <c r="B14" s="261"/>
      <c r="C14" s="261"/>
      <c r="D14" s="261"/>
      <c r="E14" s="261"/>
      <c r="F14" s="261"/>
      <c r="G14" s="261"/>
      <c r="H14" s="261"/>
      <c r="I14" s="123">
        <v>9</v>
      </c>
      <c r="J14" s="124"/>
      <c r="K14" s="125"/>
    </row>
    <row r="15" spans="1:11" ht="12.75">
      <c r="A15" s="260" t="s">
        <v>254</v>
      </c>
      <c r="B15" s="261"/>
      <c r="C15" s="261"/>
      <c r="D15" s="261"/>
      <c r="E15" s="261"/>
      <c r="F15" s="261"/>
      <c r="G15" s="261"/>
      <c r="H15" s="261"/>
      <c r="I15" s="123">
        <v>10</v>
      </c>
      <c r="J15" s="124"/>
      <c r="K15" s="125"/>
    </row>
    <row r="16" spans="1:11" ht="12.75">
      <c r="A16" s="260" t="s">
        <v>255</v>
      </c>
      <c r="B16" s="261"/>
      <c r="C16" s="261"/>
      <c r="D16" s="261"/>
      <c r="E16" s="261"/>
      <c r="F16" s="261"/>
      <c r="G16" s="261"/>
      <c r="H16" s="261"/>
      <c r="I16" s="123">
        <v>11</v>
      </c>
      <c r="J16" s="124"/>
      <c r="K16" s="125"/>
    </row>
    <row r="17" spans="1:11" ht="12.75">
      <c r="A17" s="262" t="s">
        <v>84</v>
      </c>
      <c r="B17" s="263"/>
      <c r="C17" s="263"/>
      <c r="D17" s="263"/>
      <c r="E17" s="263"/>
      <c r="F17" s="263"/>
      <c r="G17" s="263"/>
      <c r="H17" s="263"/>
      <c r="I17" s="123">
        <v>12</v>
      </c>
      <c r="J17" s="126">
        <f>SUM(J13:J16)</f>
        <v>0</v>
      </c>
      <c r="K17" s="127">
        <f>SUM(K13:K16)</f>
        <v>0</v>
      </c>
    </row>
    <row r="18" spans="1:11" ht="12.75">
      <c r="A18" s="262" t="s">
        <v>242</v>
      </c>
      <c r="B18" s="263"/>
      <c r="C18" s="263"/>
      <c r="D18" s="263"/>
      <c r="E18" s="263"/>
      <c r="F18" s="263"/>
      <c r="G18" s="263"/>
      <c r="H18" s="263"/>
      <c r="I18" s="123">
        <v>13</v>
      </c>
      <c r="J18" s="126">
        <f>IF(J12&gt;J17,J12-J17,0)</f>
        <v>0</v>
      </c>
      <c r="K18" s="127">
        <f>IF(K12&gt;K17,K12-K17,0)</f>
        <v>0</v>
      </c>
    </row>
    <row r="19" spans="1:11" ht="12.75">
      <c r="A19" s="262" t="s">
        <v>243</v>
      </c>
      <c r="B19" s="263"/>
      <c r="C19" s="263"/>
      <c r="D19" s="263"/>
      <c r="E19" s="263"/>
      <c r="F19" s="263"/>
      <c r="G19" s="263"/>
      <c r="H19" s="263"/>
      <c r="I19" s="123">
        <v>14</v>
      </c>
      <c r="J19" s="126">
        <f>IF(J17&gt;J12,J17-J12,0)</f>
        <v>0</v>
      </c>
      <c r="K19" s="127">
        <f>IF(K17&gt;K12,K17-K12,0)</f>
        <v>0</v>
      </c>
    </row>
    <row r="20" spans="1:11" s="120" customFormat="1" ht="12.75">
      <c r="A20" s="256" t="s">
        <v>85</v>
      </c>
      <c r="B20" s="257"/>
      <c r="C20" s="257"/>
      <c r="D20" s="257"/>
      <c r="E20" s="257"/>
      <c r="F20" s="257"/>
      <c r="G20" s="257"/>
      <c r="H20" s="257"/>
      <c r="I20" s="258"/>
      <c r="J20" s="258"/>
      <c r="K20" s="259"/>
    </row>
    <row r="21" spans="1:11" ht="12.75">
      <c r="A21" s="260" t="s">
        <v>106</v>
      </c>
      <c r="B21" s="261"/>
      <c r="C21" s="261"/>
      <c r="D21" s="261"/>
      <c r="E21" s="261"/>
      <c r="F21" s="261"/>
      <c r="G21" s="261"/>
      <c r="H21" s="261"/>
      <c r="I21" s="123">
        <v>15</v>
      </c>
      <c r="J21" s="124"/>
      <c r="K21" s="125"/>
    </row>
    <row r="22" spans="1:11" ht="12.75">
      <c r="A22" s="260" t="s">
        <v>107</v>
      </c>
      <c r="B22" s="261"/>
      <c r="C22" s="261"/>
      <c r="D22" s="261"/>
      <c r="E22" s="261"/>
      <c r="F22" s="261"/>
      <c r="G22" s="261"/>
      <c r="H22" s="261"/>
      <c r="I22" s="123">
        <v>16</v>
      </c>
      <c r="J22" s="124"/>
      <c r="K22" s="125"/>
    </row>
    <row r="23" spans="1:11" ht="12.75">
      <c r="A23" s="260" t="s">
        <v>108</v>
      </c>
      <c r="B23" s="261"/>
      <c r="C23" s="261"/>
      <c r="D23" s="261"/>
      <c r="E23" s="261"/>
      <c r="F23" s="261"/>
      <c r="G23" s="261"/>
      <c r="H23" s="261"/>
      <c r="I23" s="123">
        <v>17</v>
      </c>
      <c r="J23" s="124"/>
      <c r="K23" s="125"/>
    </row>
    <row r="24" spans="1:11" ht="12.75">
      <c r="A24" s="260" t="s">
        <v>109</v>
      </c>
      <c r="B24" s="261"/>
      <c r="C24" s="261"/>
      <c r="D24" s="261"/>
      <c r="E24" s="261"/>
      <c r="F24" s="261"/>
      <c r="G24" s="261"/>
      <c r="H24" s="261"/>
      <c r="I24" s="123">
        <v>18</v>
      </c>
      <c r="J24" s="124"/>
      <c r="K24" s="125"/>
    </row>
    <row r="25" spans="1:11" ht="12.75">
      <c r="A25" s="260" t="s">
        <v>110</v>
      </c>
      <c r="B25" s="261"/>
      <c r="C25" s="261"/>
      <c r="D25" s="261"/>
      <c r="E25" s="261"/>
      <c r="F25" s="261"/>
      <c r="G25" s="261"/>
      <c r="H25" s="261"/>
      <c r="I25" s="123">
        <v>19</v>
      </c>
      <c r="J25" s="124"/>
      <c r="K25" s="125"/>
    </row>
    <row r="26" spans="1:11" ht="12.75">
      <c r="A26" s="262" t="s">
        <v>231</v>
      </c>
      <c r="B26" s="263"/>
      <c r="C26" s="263"/>
      <c r="D26" s="263"/>
      <c r="E26" s="263"/>
      <c r="F26" s="263"/>
      <c r="G26" s="263"/>
      <c r="H26" s="263"/>
      <c r="I26" s="123">
        <v>20</v>
      </c>
      <c r="J26" s="126">
        <f>SUM(J21:J25)</f>
        <v>0</v>
      </c>
      <c r="K26" s="127">
        <f>SUM(K21:K25)</f>
        <v>0</v>
      </c>
    </row>
    <row r="27" spans="1:11" ht="12.75">
      <c r="A27" s="260" t="s">
        <v>111</v>
      </c>
      <c r="B27" s="261"/>
      <c r="C27" s="261"/>
      <c r="D27" s="261"/>
      <c r="E27" s="261"/>
      <c r="F27" s="261"/>
      <c r="G27" s="261"/>
      <c r="H27" s="261"/>
      <c r="I27" s="123">
        <v>21</v>
      </c>
      <c r="J27" s="124"/>
      <c r="K27" s="125"/>
    </row>
    <row r="28" spans="1:11" ht="12.75">
      <c r="A28" s="260" t="s">
        <v>112</v>
      </c>
      <c r="B28" s="261"/>
      <c r="C28" s="261"/>
      <c r="D28" s="261"/>
      <c r="E28" s="261"/>
      <c r="F28" s="261"/>
      <c r="G28" s="261"/>
      <c r="H28" s="261"/>
      <c r="I28" s="123">
        <v>22</v>
      </c>
      <c r="J28" s="124"/>
      <c r="K28" s="125"/>
    </row>
    <row r="29" spans="1:11" ht="12.75">
      <c r="A29" s="260" t="s">
        <v>113</v>
      </c>
      <c r="B29" s="261"/>
      <c r="C29" s="261"/>
      <c r="D29" s="261"/>
      <c r="E29" s="261"/>
      <c r="F29" s="261"/>
      <c r="G29" s="261"/>
      <c r="H29" s="261"/>
      <c r="I29" s="123">
        <v>23</v>
      </c>
      <c r="J29" s="124"/>
      <c r="K29" s="125"/>
    </row>
    <row r="30" spans="1:11" ht="12.75">
      <c r="A30" s="262" t="s">
        <v>33</v>
      </c>
      <c r="B30" s="263"/>
      <c r="C30" s="263"/>
      <c r="D30" s="263"/>
      <c r="E30" s="263"/>
      <c r="F30" s="263"/>
      <c r="G30" s="263"/>
      <c r="H30" s="263"/>
      <c r="I30" s="123">
        <v>24</v>
      </c>
      <c r="J30" s="126">
        <f>SUM(J27:J29)</f>
        <v>0</v>
      </c>
      <c r="K30" s="127">
        <f>SUM(K27:K29)</f>
        <v>0</v>
      </c>
    </row>
    <row r="31" spans="1:11" ht="12.75">
      <c r="A31" s="262" t="s">
        <v>244</v>
      </c>
      <c r="B31" s="263"/>
      <c r="C31" s="263"/>
      <c r="D31" s="263"/>
      <c r="E31" s="263"/>
      <c r="F31" s="263"/>
      <c r="G31" s="263"/>
      <c r="H31" s="263"/>
      <c r="I31" s="123">
        <v>25</v>
      </c>
      <c r="J31" s="126">
        <f>IF(J26&gt;J30,J26-J30,0)</f>
        <v>0</v>
      </c>
      <c r="K31" s="127">
        <f>IF(K26&gt;K30,K26-K30,0)</f>
        <v>0</v>
      </c>
    </row>
    <row r="32" spans="1:11" ht="12.75">
      <c r="A32" s="262" t="s">
        <v>245</v>
      </c>
      <c r="B32" s="263"/>
      <c r="C32" s="263"/>
      <c r="D32" s="263"/>
      <c r="E32" s="263"/>
      <c r="F32" s="263"/>
      <c r="G32" s="263"/>
      <c r="H32" s="263"/>
      <c r="I32" s="123">
        <v>26</v>
      </c>
      <c r="J32" s="126">
        <f>IF(J30&gt;J26,J30-J26,0)</f>
        <v>0</v>
      </c>
      <c r="K32" s="127">
        <f>IF(K30&gt;K26,K30-K26,0)</f>
        <v>0</v>
      </c>
    </row>
    <row r="33" spans="1:11" s="120" customFormat="1" ht="12.75">
      <c r="A33" s="256" t="s">
        <v>86</v>
      </c>
      <c r="B33" s="257"/>
      <c r="C33" s="257"/>
      <c r="D33" s="257"/>
      <c r="E33" s="257"/>
      <c r="F33" s="257"/>
      <c r="G33" s="257"/>
      <c r="H33" s="257"/>
      <c r="I33" s="258"/>
      <c r="J33" s="258"/>
      <c r="K33" s="259"/>
    </row>
    <row r="34" spans="1:11" ht="12.75">
      <c r="A34" s="260" t="s">
        <v>233</v>
      </c>
      <c r="B34" s="261"/>
      <c r="C34" s="261"/>
      <c r="D34" s="261"/>
      <c r="E34" s="261"/>
      <c r="F34" s="261"/>
      <c r="G34" s="261"/>
      <c r="H34" s="261"/>
      <c r="I34" s="123">
        <v>27</v>
      </c>
      <c r="J34" s="124"/>
      <c r="K34" s="125"/>
    </row>
    <row r="35" spans="1:11" ht="12.75">
      <c r="A35" s="260" t="s">
        <v>234</v>
      </c>
      <c r="B35" s="261"/>
      <c r="C35" s="261"/>
      <c r="D35" s="261"/>
      <c r="E35" s="261"/>
      <c r="F35" s="261"/>
      <c r="G35" s="261"/>
      <c r="H35" s="261"/>
      <c r="I35" s="123">
        <v>28</v>
      </c>
      <c r="J35" s="124"/>
      <c r="K35" s="125"/>
    </row>
    <row r="36" spans="1:11" ht="12.75">
      <c r="A36" s="260" t="s">
        <v>235</v>
      </c>
      <c r="B36" s="261"/>
      <c r="C36" s="261"/>
      <c r="D36" s="261"/>
      <c r="E36" s="261"/>
      <c r="F36" s="261"/>
      <c r="G36" s="261"/>
      <c r="H36" s="261"/>
      <c r="I36" s="123">
        <v>29</v>
      </c>
      <c r="J36" s="124"/>
      <c r="K36" s="125"/>
    </row>
    <row r="37" spans="1:11" ht="12.75">
      <c r="A37" s="262" t="s">
        <v>158</v>
      </c>
      <c r="B37" s="263"/>
      <c r="C37" s="263"/>
      <c r="D37" s="263"/>
      <c r="E37" s="263"/>
      <c r="F37" s="263"/>
      <c r="G37" s="263"/>
      <c r="H37" s="263"/>
      <c r="I37" s="123">
        <v>30</v>
      </c>
      <c r="J37" s="126">
        <f>SUM(J34:J36)</f>
        <v>0</v>
      </c>
      <c r="K37" s="127">
        <f>SUM(K34:K36)</f>
        <v>0</v>
      </c>
    </row>
    <row r="38" spans="1:11" ht="12.75">
      <c r="A38" s="260" t="s">
        <v>236</v>
      </c>
      <c r="B38" s="261"/>
      <c r="C38" s="261"/>
      <c r="D38" s="261"/>
      <c r="E38" s="261"/>
      <c r="F38" s="261"/>
      <c r="G38" s="261"/>
      <c r="H38" s="261"/>
      <c r="I38" s="123">
        <v>31</v>
      </c>
      <c r="J38" s="124"/>
      <c r="K38" s="125"/>
    </row>
    <row r="39" spans="1:11" ht="12.75">
      <c r="A39" s="260" t="s">
        <v>237</v>
      </c>
      <c r="B39" s="261"/>
      <c r="C39" s="261"/>
      <c r="D39" s="261"/>
      <c r="E39" s="261"/>
      <c r="F39" s="261"/>
      <c r="G39" s="261"/>
      <c r="H39" s="261"/>
      <c r="I39" s="123">
        <v>32</v>
      </c>
      <c r="J39" s="124"/>
      <c r="K39" s="125"/>
    </row>
    <row r="40" spans="1:11" ht="12.75">
      <c r="A40" s="260" t="s">
        <v>238</v>
      </c>
      <c r="B40" s="261"/>
      <c r="C40" s="261"/>
      <c r="D40" s="261"/>
      <c r="E40" s="261"/>
      <c r="F40" s="261"/>
      <c r="G40" s="261"/>
      <c r="H40" s="261"/>
      <c r="I40" s="123">
        <v>33</v>
      </c>
      <c r="J40" s="124"/>
      <c r="K40" s="125"/>
    </row>
    <row r="41" spans="1:11" ht="12.75">
      <c r="A41" s="260" t="s">
        <v>239</v>
      </c>
      <c r="B41" s="261"/>
      <c r="C41" s="261"/>
      <c r="D41" s="261"/>
      <c r="E41" s="261"/>
      <c r="F41" s="261"/>
      <c r="G41" s="261"/>
      <c r="H41" s="261"/>
      <c r="I41" s="123">
        <v>34</v>
      </c>
      <c r="J41" s="124"/>
      <c r="K41" s="125"/>
    </row>
    <row r="42" spans="1:11" ht="12.75">
      <c r="A42" s="260" t="s">
        <v>240</v>
      </c>
      <c r="B42" s="261"/>
      <c r="C42" s="261"/>
      <c r="D42" s="261"/>
      <c r="E42" s="261"/>
      <c r="F42" s="261"/>
      <c r="G42" s="261"/>
      <c r="H42" s="261"/>
      <c r="I42" s="123">
        <v>35</v>
      </c>
      <c r="J42" s="124"/>
      <c r="K42" s="125"/>
    </row>
    <row r="43" spans="1:11" ht="12.75">
      <c r="A43" s="262" t="s">
        <v>159</v>
      </c>
      <c r="B43" s="263"/>
      <c r="C43" s="263"/>
      <c r="D43" s="263"/>
      <c r="E43" s="263"/>
      <c r="F43" s="263"/>
      <c r="G43" s="263"/>
      <c r="H43" s="263"/>
      <c r="I43" s="123">
        <v>36</v>
      </c>
      <c r="J43" s="126">
        <f>SUM(J38:J42)</f>
        <v>0</v>
      </c>
      <c r="K43" s="127">
        <f>SUM(K38:K42)</f>
        <v>0</v>
      </c>
    </row>
    <row r="44" spans="1:11" ht="12.75">
      <c r="A44" s="262" t="s">
        <v>114</v>
      </c>
      <c r="B44" s="263"/>
      <c r="C44" s="263"/>
      <c r="D44" s="263"/>
      <c r="E44" s="263"/>
      <c r="F44" s="263"/>
      <c r="G44" s="263"/>
      <c r="H44" s="263"/>
      <c r="I44" s="123">
        <v>37</v>
      </c>
      <c r="J44" s="126">
        <f>IF(J37&gt;J43,J37-J43,0)</f>
        <v>0</v>
      </c>
      <c r="K44" s="127">
        <f>IF(K37&gt;K43,K37-K43,0)</f>
        <v>0</v>
      </c>
    </row>
    <row r="45" spans="1:11" ht="12.75">
      <c r="A45" s="262" t="s">
        <v>115</v>
      </c>
      <c r="B45" s="263"/>
      <c r="C45" s="263"/>
      <c r="D45" s="263"/>
      <c r="E45" s="263"/>
      <c r="F45" s="263"/>
      <c r="G45" s="263"/>
      <c r="H45" s="263"/>
      <c r="I45" s="123">
        <v>38</v>
      </c>
      <c r="J45" s="126">
        <f>IF(J43&gt;J37,J43-J37,0)</f>
        <v>0</v>
      </c>
      <c r="K45" s="127">
        <f>IF(K43&gt;K37,K43-K37,0)</f>
        <v>0</v>
      </c>
    </row>
    <row r="46" spans="1:11" ht="12.75">
      <c r="A46" s="260" t="s">
        <v>160</v>
      </c>
      <c r="B46" s="261"/>
      <c r="C46" s="261"/>
      <c r="D46" s="261"/>
      <c r="E46" s="261"/>
      <c r="F46" s="261"/>
      <c r="G46" s="261"/>
      <c r="H46" s="261"/>
      <c r="I46" s="123">
        <v>39</v>
      </c>
      <c r="J46" s="126">
        <f>IF(J18-J19+J31-J32+J44-J45&gt;0,J18-J19+J31-J32+J44-J45,0)</f>
        <v>0</v>
      </c>
      <c r="K46" s="127">
        <f>IF(K18-K19+K31-K32+K44-K45&gt;0,K18-K19+K31-K32+K44-K45,0)</f>
        <v>0</v>
      </c>
    </row>
    <row r="47" spans="1:11" ht="12.75">
      <c r="A47" s="260" t="s">
        <v>161</v>
      </c>
      <c r="B47" s="261"/>
      <c r="C47" s="261"/>
      <c r="D47" s="261"/>
      <c r="E47" s="261"/>
      <c r="F47" s="261"/>
      <c r="G47" s="261"/>
      <c r="H47" s="261"/>
      <c r="I47" s="123">
        <v>40</v>
      </c>
      <c r="J47" s="126">
        <f>IF(J19-J18+J32-J31+J45-J44&gt;0,J19-J18+J32-J31+J45-J44,0)</f>
        <v>0</v>
      </c>
      <c r="K47" s="127">
        <f>IF(K19-K18+K32-K31+K45-K44&gt;0,K19-K18+K32-K31+K45-K44,0)</f>
        <v>0</v>
      </c>
    </row>
    <row r="48" spans="1:11" ht="12.75">
      <c r="A48" s="260" t="s">
        <v>87</v>
      </c>
      <c r="B48" s="261"/>
      <c r="C48" s="261"/>
      <c r="D48" s="261"/>
      <c r="E48" s="261"/>
      <c r="F48" s="261"/>
      <c r="G48" s="261"/>
      <c r="H48" s="261"/>
      <c r="I48" s="123">
        <v>41</v>
      </c>
      <c r="J48" s="124"/>
      <c r="K48" s="125"/>
    </row>
    <row r="49" spans="1:11" ht="12.75">
      <c r="A49" s="260" t="s">
        <v>224</v>
      </c>
      <c r="B49" s="261"/>
      <c r="C49" s="261"/>
      <c r="D49" s="261"/>
      <c r="E49" s="261"/>
      <c r="F49" s="261"/>
      <c r="G49" s="261"/>
      <c r="H49" s="261"/>
      <c r="I49" s="123">
        <v>42</v>
      </c>
      <c r="J49" s="124"/>
      <c r="K49" s="125"/>
    </row>
    <row r="50" spans="1:11" ht="12.75">
      <c r="A50" s="260" t="s">
        <v>225</v>
      </c>
      <c r="B50" s="261"/>
      <c r="C50" s="261"/>
      <c r="D50" s="261"/>
      <c r="E50" s="261"/>
      <c r="F50" s="261"/>
      <c r="G50" s="261"/>
      <c r="H50" s="261"/>
      <c r="I50" s="123">
        <v>43</v>
      </c>
      <c r="J50" s="124"/>
      <c r="K50" s="125"/>
    </row>
    <row r="51" spans="1:11" ht="12.75">
      <c r="A51" s="264" t="s">
        <v>226</v>
      </c>
      <c r="B51" s="265"/>
      <c r="C51" s="265"/>
      <c r="D51" s="265"/>
      <c r="E51" s="265"/>
      <c r="F51" s="265"/>
      <c r="G51" s="265"/>
      <c r="H51" s="265"/>
      <c r="I51" s="128">
        <v>44</v>
      </c>
      <c r="J51" s="129">
        <f>J48+J49-J50</f>
        <v>0</v>
      </c>
      <c r="K51" s="130">
        <f>K48+K49-K50</f>
        <v>0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K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K20"/>
    <mergeCell ref="A13:H13"/>
    <mergeCell ref="A14:H14"/>
    <mergeCell ref="A15:H15"/>
    <mergeCell ref="A16:H16"/>
    <mergeCell ref="A9:H9"/>
    <mergeCell ref="A10:H10"/>
    <mergeCell ref="A11:H11"/>
    <mergeCell ref="A12:H12"/>
    <mergeCell ref="A5:K5"/>
    <mergeCell ref="A6:H6"/>
    <mergeCell ref="A7:H7"/>
    <mergeCell ref="A8:H8"/>
    <mergeCell ref="H2:I2"/>
    <mergeCell ref="A3:H3"/>
    <mergeCell ref="A4:H4"/>
    <mergeCell ref="C2:D2"/>
    <mergeCell ref="E2:F2"/>
  </mergeCells>
  <conditionalFormatting sqref="H2 E2">
    <cfRule type="cellIs" priority="1" dxfId="2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48:K50 J38:K42 J34:K36 J27:K29 J21:K25 J13:K16 J6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0:K32 J51:K51 J43:K47 J37:K37 J26:K26 J12:K12 J17:K1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workbookViewId="0" topLeftCell="A1">
      <selection activeCell="M41" sqref="M41"/>
    </sheetView>
  </sheetViews>
  <sheetFormatPr defaultColWidth="9.140625" defaultRowHeight="12.75"/>
  <cols>
    <col min="1" max="16384" width="9.140625" style="120" customWidth="1"/>
  </cols>
  <sheetData>
    <row r="1" spans="1:11" s="115" customFormat="1" ht="16.5" customHeight="1">
      <c r="A1" s="266" t="s">
        <v>274</v>
      </c>
      <c r="B1" s="266"/>
      <c r="C1" s="266"/>
      <c r="D1" s="266"/>
      <c r="E1" s="266"/>
      <c r="F1" s="266"/>
      <c r="G1" s="266"/>
      <c r="H1" s="266"/>
      <c r="I1" s="266"/>
      <c r="J1" s="266"/>
      <c r="K1" s="278"/>
    </row>
    <row r="2" spans="1:11" s="115" customFormat="1" ht="16.5" customHeight="1">
      <c r="A2" s="101"/>
      <c r="B2" s="113"/>
      <c r="C2" s="271" t="s">
        <v>386</v>
      </c>
      <c r="D2" s="272"/>
      <c r="E2" s="270">
        <v>40179</v>
      </c>
      <c r="F2" s="251"/>
      <c r="G2" s="104" t="s">
        <v>332</v>
      </c>
      <c r="H2" s="270">
        <v>40543</v>
      </c>
      <c r="I2" s="251"/>
      <c r="J2" s="114"/>
      <c r="K2" s="116"/>
    </row>
    <row r="3" spans="1:11" ht="24" thickBot="1">
      <c r="A3" s="252" t="s">
        <v>178</v>
      </c>
      <c r="B3" s="252"/>
      <c r="C3" s="252"/>
      <c r="D3" s="252"/>
      <c r="E3" s="252"/>
      <c r="F3" s="252"/>
      <c r="G3" s="252"/>
      <c r="H3" s="252"/>
      <c r="I3" s="117" t="s">
        <v>392</v>
      </c>
      <c r="J3" s="131" t="s">
        <v>52</v>
      </c>
      <c r="K3" s="131" t="s">
        <v>53</v>
      </c>
    </row>
    <row r="4" spans="1:11" ht="12.75">
      <c r="A4" s="253">
        <v>1</v>
      </c>
      <c r="B4" s="253"/>
      <c r="C4" s="253"/>
      <c r="D4" s="253"/>
      <c r="E4" s="253"/>
      <c r="F4" s="253"/>
      <c r="G4" s="253"/>
      <c r="H4" s="253"/>
      <c r="I4" s="121">
        <v>2</v>
      </c>
      <c r="J4" s="122" t="s">
        <v>104</v>
      </c>
      <c r="K4" s="122" t="s">
        <v>105</v>
      </c>
    </row>
    <row r="5" spans="1:11" ht="12.75">
      <c r="A5" s="256" t="s">
        <v>82</v>
      </c>
      <c r="B5" s="257"/>
      <c r="C5" s="257"/>
      <c r="D5" s="257"/>
      <c r="E5" s="257"/>
      <c r="F5" s="257"/>
      <c r="G5" s="257"/>
      <c r="H5" s="257"/>
      <c r="I5" s="258"/>
      <c r="J5" s="258"/>
      <c r="K5" s="259"/>
    </row>
    <row r="6" spans="1:11" s="115" customFormat="1" ht="12.75">
      <c r="A6" s="260" t="s">
        <v>276</v>
      </c>
      <c r="B6" s="261"/>
      <c r="C6" s="261"/>
      <c r="D6" s="261"/>
      <c r="E6" s="261"/>
      <c r="F6" s="261"/>
      <c r="G6" s="261"/>
      <c r="H6" s="261"/>
      <c r="I6" s="123">
        <v>1</v>
      </c>
      <c r="J6" s="125">
        <f>7550794+39161965+3287797-10179-55125</f>
        <v>49935252</v>
      </c>
      <c r="K6" s="125">
        <f>7579755+57571+42601118+3463775+957</f>
        <v>53703176</v>
      </c>
    </row>
    <row r="7" spans="1:11" s="115" customFormat="1" ht="12.75">
      <c r="A7" s="260" t="s">
        <v>277</v>
      </c>
      <c r="B7" s="261"/>
      <c r="C7" s="261"/>
      <c r="D7" s="261"/>
      <c r="E7" s="261"/>
      <c r="F7" s="261"/>
      <c r="G7" s="261"/>
      <c r="H7" s="261"/>
      <c r="I7" s="123">
        <v>2</v>
      </c>
      <c r="J7" s="125"/>
      <c r="K7" s="125"/>
    </row>
    <row r="8" spans="1:11" s="115" customFormat="1" ht="12.75">
      <c r="A8" s="260" t="s">
        <v>278</v>
      </c>
      <c r="B8" s="261"/>
      <c r="C8" s="261"/>
      <c r="D8" s="261"/>
      <c r="E8" s="261"/>
      <c r="F8" s="261"/>
      <c r="G8" s="261"/>
      <c r="H8" s="261"/>
      <c r="I8" s="123">
        <v>3</v>
      </c>
      <c r="J8" s="125">
        <v>325124</v>
      </c>
      <c r="K8" s="125">
        <v>216831</v>
      </c>
    </row>
    <row r="9" spans="1:11" s="115" customFormat="1" ht="12.75">
      <c r="A9" s="260" t="s">
        <v>279</v>
      </c>
      <c r="B9" s="261"/>
      <c r="C9" s="261"/>
      <c r="D9" s="261"/>
      <c r="E9" s="261"/>
      <c r="F9" s="261"/>
      <c r="G9" s="261"/>
      <c r="H9" s="261"/>
      <c r="I9" s="123">
        <v>4</v>
      </c>
      <c r="J9" s="125">
        <v>194364</v>
      </c>
      <c r="K9" s="125">
        <v>258180</v>
      </c>
    </row>
    <row r="10" spans="1:11" s="115" customFormat="1" ht="12.75">
      <c r="A10" s="260" t="s">
        <v>280</v>
      </c>
      <c r="B10" s="261"/>
      <c r="C10" s="261"/>
      <c r="D10" s="261"/>
      <c r="E10" s="261"/>
      <c r="F10" s="261"/>
      <c r="G10" s="261"/>
      <c r="H10" s="261"/>
      <c r="I10" s="123">
        <v>5</v>
      </c>
      <c r="J10" s="125">
        <f>592397+490019-325124</f>
        <v>757292</v>
      </c>
      <c r="K10" s="125">
        <f>284819+416332-216831</f>
        <v>484320</v>
      </c>
    </row>
    <row r="11" spans="1:11" s="115" customFormat="1" ht="12.75">
      <c r="A11" s="262" t="s">
        <v>275</v>
      </c>
      <c r="B11" s="263"/>
      <c r="C11" s="263"/>
      <c r="D11" s="263"/>
      <c r="E11" s="263"/>
      <c r="F11" s="263"/>
      <c r="G11" s="263"/>
      <c r="H11" s="263"/>
      <c r="I11" s="123">
        <v>6</v>
      </c>
      <c r="J11" s="126">
        <f>SUM(J6:J10)</f>
        <v>51212032</v>
      </c>
      <c r="K11" s="127">
        <f>SUM(K6:K10)</f>
        <v>54662507</v>
      </c>
    </row>
    <row r="12" spans="1:11" s="115" customFormat="1" ht="12.75">
      <c r="A12" s="260" t="s">
        <v>281</v>
      </c>
      <c r="B12" s="261"/>
      <c r="C12" s="261"/>
      <c r="D12" s="261"/>
      <c r="E12" s="261"/>
      <c r="F12" s="261"/>
      <c r="G12" s="261"/>
      <c r="H12" s="261"/>
      <c r="I12" s="123">
        <v>7</v>
      </c>
      <c r="J12" s="125">
        <f>5140521+11809974+64743+237343-278285-100-13239-128308</f>
        <v>16832649</v>
      </c>
      <c r="K12" s="125">
        <f>5891304+12970703+25338+344466-545592-32472-22257</f>
        <v>18631490</v>
      </c>
    </row>
    <row r="13" spans="1:11" s="115" customFormat="1" ht="12.75">
      <c r="A13" s="260" t="s">
        <v>282</v>
      </c>
      <c r="B13" s="261"/>
      <c r="C13" s="261"/>
      <c r="D13" s="261"/>
      <c r="E13" s="261"/>
      <c r="F13" s="261"/>
      <c r="G13" s="261"/>
      <c r="H13" s="261"/>
      <c r="I13" s="123">
        <v>8</v>
      </c>
      <c r="J13" s="125">
        <f>24175998+437508+1651000</f>
        <v>26264506</v>
      </c>
      <c r="K13" s="125">
        <f>23054080+167661+536800</f>
        <v>23758541</v>
      </c>
    </row>
    <row r="14" spans="1:11" s="115" customFormat="1" ht="12.75">
      <c r="A14" s="260" t="s">
        <v>283</v>
      </c>
      <c r="B14" s="261"/>
      <c r="C14" s="261"/>
      <c r="D14" s="261"/>
      <c r="E14" s="261"/>
      <c r="F14" s="261"/>
      <c r="G14" s="261"/>
      <c r="H14" s="261"/>
      <c r="I14" s="123">
        <v>9</v>
      </c>
      <c r="J14" s="125">
        <f>278285+13239+128308</f>
        <v>419832</v>
      </c>
      <c r="K14" s="125">
        <v>545592</v>
      </c>
    </row>
    <row r="15" spans="1:11" s="115" customFormat="1" ht="12.75">
      <c r="A15" s="260" t="s">
        <v>284</v>
      </c>
      <c r="B15" s="261"/>
      <c r="C15" s="261"/>
      <c r="D15" s="261"/>
      <c r="E15" s="261"/>
      <c r="F15" s="261"/>
      <c r="G15" s="261"/>
      <c r="H15" s="261"/>
      <c r="I15" s="123">
        <v>10</v>
      </c>
      <c r="J15" s="125">
        <v>492</v>
      </c>
      <c r="K15" s="125">
        <v>6515</v>
      </c>
    </row>
    <row r="16" spans="1:11" s="115" customFormat="1" ht="12.75">
      <c r="A16" s="260" t="s">
        <v>285</v>
      </c>
      <c r="B16" s="261"/>
      <c r="C16" s="261"/>
      <c r="D16" s="261"/>
      <c r="E16" s="261"/>
      <c r="F16" s="261"/>
      <c r="G16" s="261"/>
      <c r="H16" s="261"/>
      <c r="I16" s="123">
        <v>11</v>
      </c>
      <c r="J16" s="125">
        <f>2428780+359979</f>
        <v>2788759</v>
      </c>
      <c r="K16" s="125">
        <f>2885617+679106</f>
        <v>3564723</v>
      </c>
    </row>
    <row r="17" spans="1:11" s="115" customFormat="1" ht="12.75">
      <c r="A17" s="260" t="s">
        <v>286</v>
      </c>
      <c r="B17" s="261"/>
      <c r="C17" s="261"/>
      <c r="D17" s="261"/>
      <c r="E17" s="261"/>
      <c r="F17" s="261"/>
      <c r="G17" s="261"/>
      <c r="H17" s="261"/>
      <c r="I17" s="123">
        <v>12</v>
      </c>
      <c r="J17" s="125">
        <f>848633+843714+42578+149845</f>
        <v>1884770</v>
      </c>
      <c r="K17" s="125">
        <f>829045+942917+39729+201274</f>
        <v>2012965</v>
      </c>
    </row>
    <row r="18" spans="1:11" s="115" customFormat="1" ht="12.75">
      <c r="A18" s="262" t="s">
        <v>20</v>
      </c>
      <c r="B18" s="263"/>
      <c r="C18" s="263"/>
      <c r="D18" s="263"/>
      <c r="E18" s="263"/>
      <c r="F18" s="263"/>
      <c r="G18" s="263"/>
      <c r="H18" s="263"/>
      <c r="I18" s="123">
        <v>13</v>
      </c>
      <c r="J18" s="126">
        <f>SUM(J12:J17)</f>
        <v>48191008</v>
      </c>
      <c r="K18" s="127">
        <f>SUM(K12:K17)</f>
        <v>48519826</v>
      </c>
    </row>
    <row r="19" spans="1:11" s="115" customFormat="1" ht="12.75">
      <c r="A19" s="262" t="s">
        <v>258</v>
      </c>
      <c r="B19" s="273"/>
      <c r="C19" s="273"/>
      <c r="D19" s="273"/>
      <c r="E19" s="273"/>
      <c r="F19" s="273"/>
      <c r="G19" s="273"/>
      <c r="H19" s="274"/>
      <c r="I19" s="123">
        <v>14</v>
      </c>
      <c r="J19" s="126">
        <f>IF(J11&gt;J18,J11-J18,0)</f>
        <v>3021024</v>
      </c>
      <c r="K19" s="127">
        <f>IF(K11&gt;K18,K11-K18,0)</f>
        <v>6142681</v>
      </c>
    </row>
    <row r="20" spans="1:11" s="115" customFormat="1" ht="12.75">
      <c r="A20" s="275" t="s">
        <v>259</v>
      </c>
      <c r="B20" s="276"/>
      <c r="C20" s="276"/>
      <c r="D20" s="276"/>
      <c r="E20" s="276"/>
      <c r="F20" s="276"/>
      <c r="G20" s="276"/>
      <c r="H20" s="277"/>
      <c r="I20" s="123">
        <v>15</v>
      </c>
      <c r="J20" s="126">
        <f>IF(J18&gt;J11,J18-J11,0)</f>
        <v>0</v>
      </c>
      <c r="K20" s="127">
        <f>IF(K18&gt;K11,K18-K11,0)</f>
        <v>0</v>
      </c>
    </row>
    <row r="21" spans="1:11" ht="12.75">
      <c r="A21" s="256" t="s">
        <v>85</v>
      </c>
      <c r="B21" s="257"/>
      <c r="C21" s="257"/>
      <c r="D21" s="257"/>
      <c r="E21" s="257"/>
      <c r="F21" s="257"/>
      <c r="G21" s="257"/>
      <c r="H21" s="257"/>
      <c r="I21" s="258"/>
      <c r="J21" s="258"/>
      <c r="K21" s="259"/>
    </row>
    <row r="22" spans="1:11" s="115" customFormat="1" ht="12.75">
      <c r="A22" s="260" t="s">
        <v>228</v>
      </c>
      <c r="B22" s="261"/>
      <c r="C22" s="261"/>
      <c r="D22" s="261"/>
      <c r="E22" s="261"/>
      <c r="F22" s="261"/>
      <c r="G22" s="261"/>
      <c r="H22" s="261"/>
      <c r="I22" s="123">
        <v>16</v>
      </c>
      <c r="J22" s="124"/>
      <c r="K22" s="125"/>
    </row>
    <row r="23" spans="1:11" s="115" customFormat="1" ht="12.75">
      <c r="A23" s="260" t="s">
        <v>229</v>
      </c>
      <c r="B23" s="261"/>
      <c r="C23" s="261"/>
      <c r="D23" s="261"/>
      <c r="E23" s="261"/>
      <c r="F23" s="261"/>
      <c r="G23" s="261"/>
      <c r="H23" s="261"/>
      <c r="I23" s="123">
        <v>17</v>
      </c>
      <c r="J23" s="124"/>
      <c r="K23" s="125"/>
    </row>
    <row r="24" spans="1:11" s="115" customFormat="1" ht="12.75">
      <c r="A24" s="260" t="s">
        <v>21</v>
      </c>
      <c r="B24" s="261"/>
      <c r="C24" s="261"/>
      <c r="D24" s="261"/>
      <c r="E24" s="261"/>
      <c r="F24" s="261"/>
      <c r="G24" s="261"/>
      <c r="H24" s="261"/>
      <c r="I24" s="123">
        <v>18</v>
      </c>
      <c r="J24" s="124"/>
      <c r="K24" s="125"/>
    </row>
    <row r="25" spans="1:11" s="115" customFormat="1" ht="12.75">
      <c r="A25" s="260" t="s">
        <v>22</v>
      </c>
      <c r="B25" s="261"/>
      <c r="C25" s="261"/>
      <c r="D25" s="261"/>
      <c r="E25" s="261"/>
      <c r="F25" s="261"/>
      <c r="G25" s="261"/>
      <c r="H25" s="261"/>
      <c r="I25" s="123">
        <v>19</v>
      </c>
      <c r="J25" s="124"/>
      <c r="K25" s="125"/>
    </row>
    <row r="26" spans="1:11" s="115" customFormat="1" ht="12.75">
      <c r="A26" s="260" t="s">
        <v>230</v>
      </c>
      <c r="B26" s="261"/>
      <c r="C26" s="261"/>
      <c r="D26" s="261"/>
      <c r="E26" s="261"/>
      <c r="F26" s="261"/>
      <c r="G26" s="261"/>
      <c r="H26" s="261"/>
      <c r="I26" s="123">
        <v>20</v>
      </c>
      <c r="J26" s="125">
        <v>1435000</v>
      </c>
      <c r="K26" s="125">
        <v>4655192</v>
      </c>
    </row>
    <row r="27" spans="1:11" s="115" customFormat="1" ht="12.75">
      <c r="A27" s="262" t="s">
        <v>272</v>
      </c>
      <c r="B27" s="263"/>
      <c r="C27" s="263"/>
      <c r="D27" s="263"/>
      <c r="E27" s="263"/>
      <c r="F27" s="263"/>
      <c r="G27" s="263"/>
      <c r="H27" s="263"/>
      <c r="I27" s="123">
        <v>21</v>
      </c>
      <c r="J27" s="126">
        <f>SUM(J22:J26)</f>
        <v>1435000</v>
      </c>
      <c r="K27" s="127">
        <f>SUM(K22:K26)</f>
        <v>4655192</v>
      </c>
    </row>
    <row r="28" spans="1:11" s="115" customFormat="1" ht="12.75">
      <c r="A28" s="260" t="s">
        <v>30</v>
      </c>
      <c r="B28" s="261"/>
      <c r="C28" s="261"/>
      <c r="D28" s="261"/>
      <c r="E28" s="261"/>
      <c r="F28" s="261"/>
      <c r="G28" s="261"/>
      <c r="H28" s="261"/>
      <c r="I28" s="123">
        <v>22</v>
      </c>
      <c r="J28" s="125">
        <f>7000+3672899</f>
        <v>3679899</v>
      </c>
      <c r="K28" s="125">
        <f>32472+909130</f>
        <v>941602</v>
      </c>
    </row>
    <row r="29" spans="1:11" s="115" customFormat="1" ht="12.75">
      <c r="A29" s="260" t="s">
        <v>31</v>
      </c>
      <c r="B29" s="261"/>
      <c r="C29" s="261"/>
      <c r="D29" s="261"/>
      <c r="E29" s="261"/>
      <c r="F29" s="261"/>
      <c r="G29" s="261"/>
      <c r="H29" s="261"/>
      <c r="I29" s="123">
        <v>23</v>
      </c>
      <c r="J29" s="125"/>
      <c r="K29" s="125"/>
    </row>
    <row r="30" spans="1:11" s="115" customFormat="1" ht="12.75">
      <c r="A30" s="260" t="s">
        <v>32</v>
      </c>
      <c r="B30" s="261"/>
      <c r="C30" s="261"/>
      <c r="D30" s="261"/>
      <c r="E30" s="261"/>
      <c r="F30" s="261"/>
      <c r="G30" s="261"/>
      <c r="H30" s="261"/>
      <c r="I30" s="123">
        <v>24</v>
      </c>
      <c r="J30" s="125">
        <f>9587739+50537+119350</f>
        <v>9757626</v>
      </c>
      <c r="K30" s="125">
        <f>8389420-941602</f>
        <v>7447818</v>
      </c>
    </row>
    <row r="31" spans="1:11" s="115" customFormat="1" ht="12.75">
      <c r="A31" s="262" t="s">
        <v>23</v>
      </c>
      <c r="B31" s="263"/>
      <c r="C31" s="263"/>
      <c r="D31" s="263"/>
      <c r="E31" s="263"/>
      <c r="F31" s="263"/>
      <c r="G31" s="263"/>
      <c r="H31" s="263"/>
      <c r="I31" s="123">
        <v>25</v>
      </c>
      <c r="J31" s="126">
        <f>SUM(J28:J30)</f>
        <v>13437525</v>
      </c>
      <c r="K31" s="127">
        <f>SUM(K28:K30)</f>
        <v>8389420</v>
      </c>
    </row>
    <row r="32" spans="1:11" s="115" customFormat="1" ht="12.75">
      <c r="A32" s="262" t="s">
        <v>260</v>
      </c>
      <c r="B32" s="263"/>
      <c r="C32" s="263"/>
      <c r="D32" s="263"/>
      <c r="E32" s="263"/>
      <c r="F32" s="263"/>
      <c r="G32" s="263"/>
      <c r="H32" s="263"/>
      <c r="I32" s="123">
        <v>26</v>
      </c>
      <c r="J32" s="126">
        <f>IF(J27&gt;J31,J27-J31,0)</f>
        <v>0</v>
      </c>
      <c r="K32" s="127">
        <f>IF(K27&gt;K31,K27-K31,0)</f>
        <v>0</v>
      </c>
    </row>
    <row r="33" spans="1:11" s="115" customFormat="1" ht="12.75">
      <c r="A33" s="262" t="s">
        <v>261</v>
      </c>
      <c r="B33" s="263"/>
      <c r="C33" s="263"/>
      <c r="D33" s="263"/>
      <c r="E33" s="263"/>
      <c r="F33" s="263"/>
      <c r="G33" s="263"/>
      <c r="H33" s="263"/>
      <c r="I33" s="123">
        <v>27</v>
      </c>
      <c r="J33" s="126">
        <f>IF(J31&gt;J27,J31-J27,0)</f>
        <v>12002525</v>
      </c>
      <c r="K33" s="127">
        <f>IF(K31&gt;K27,K31-K27,0)</f>
        <v>3734228</v>
      </c>
    </row>
    <row r="34" spans="1:11" ht="12.75">
      <c r="A34" s="256" t="s">
        <v>86</v>
      </c>
      <c r="B34" s="257"/>
      <c r="C34" s="257"/>
      <c r="D34" s="257"/>
      <c r="E34" s="257"/>
      <c r="F34" s="257"/>
      <c r="G34" s="257"/>
      <c r="H34" s="257"/>
      <c r="I34" s="258">
        <v>0</v>
      </c>
      <c r="J34" s="258"/>
      <c r="K34" s="259"/>
    </row>
    <row r="35" spans="1:11" s="115" customFormat="1" ht="12.75">
      <c r="A35" s="260" t="s">
        <v>233</v>
      </c>
      <c r="B35" s="261"/>
      <c r="C35" s="261"/>
      <c r="D35" s="261"/>
      <c r="E35" s="261"/>
      <c r="F35" s="261"/>
      <c r="G35" s="261"/>
      <c r="H35" s="261"/>
      <c r="I35" s="123">
        <v>28</v>
      </c>
      <c r="J35" s="124"/>
      <c r="K35" s="125"/>
    </row>
    <row r="36" spans="1:11" s="115" customFormat="1" ht="12.75">
      <c r="A36" s="260" t="s">
        <v>234</v>
      </c>
      <c r="B36" s="261"/>
      <c r="C36" s="261"/>
      <c r="D36" s="261"/>
      <c r="E36" s="261"/>
      <c r="F36" s="261"/>
      <c r="G36" s="261"/>
      <c r="H36" s="261"/>
      <c r="I36" s="123">
        <v>29</v>
      </c>
      <c r="J36" s="125">
        <f>10480887+1000000+38966</f>
        <v>11519853</v>
      </c>
      <c r="K36" s="125">
        <f>8227847-491106</f>
        <v>7736741</v>
      </c>
    </row>
    <row r="37" spans="1:11" s="115" customFormat="1" ht="12.75">
      <c r="A37" s="260" t="s">
        <v>235</v>
      </c>
      <c r="B37" s="261"/>
      <c r="C37" s="261"/>
      <c r="D37" s="261"/>
      <c r="E37" s="261"/>
      <c r="F37" s="261"/>
      <c r="G37" s="261"/>
      <c r="H37" s="261"/>
      <c r="I37" s="123">
        <v>30</v>
      </c>
      <c r="J37" s="125">
        <v>362032</v>
      </c>
      <c r="K37" s="125">
        <v>491106</v>
      </c>
    </row>
    <row r="38" spans="1:11" s="115" customFormat="1" ht="12.75">
      <c r="A38" s="262" t="s">
        <v>24</v>
      </c>
      <c r="B38" s="263"/>
      <c r="C38" s="263"/>
      <c r="D38" s="263"/>
      <c r="E38" s="263"/>
      <c r="F38" s="263"/>
      <c r="G38" s="263"/>
      <c r="H38" s="263"/>
      <c r="I38" s="123">
        <v>31</v>
      </c>
      <c r="J38" s="126">
        <f>SUM(J35:J37)</f>
        <v>11881885</v>
      </c>
      <c r="K38" s="127">
        <f>SUM(K35:K37)</f>
        <v>8227847</v>
      </c>
    </row>
    <row r="39" spans="1:11" s="115" customFormat="1" ht="12.75">
      <c r="A39" s="260" t="s">
        <v>236</v>
      </c>
      <c r="B39" s="261"/>
      <c r="C39" s="261"/>
      <c r="D39" s="261"/>
      <c r="E39" s="261"/>
      <c r="F39" s="261"/>
      <c r="G39" s="261"/>
      <c r="H39" s="261"/>
      <c r="I39" s="123">
        <v>32</v>
      </c>
      <c r="J39" s="125">
        <v>11485796</v>
      </c>
      <c r="K39" s="125">
        <f>12251530+54225</f>
        <v>12305755</v>
      </c>
    </row>
    <row r="40" spans="1:11" s="115" customFormat="1" ht="12.75">
      <c r="A40" s="260" t="s">
        <v>237</v>
      </c>
      <c r="B40" s="261"/>
      <c r="C40" s="261"/>
      <c r="D40" s="261"/>
      <c r="E40" s="261"/>
      <c r="F40" s="261"/>
      <c r="G40" s="261"/>
      <c r="H40" s="261"/>
      <c r="I40" s="123">
        <v>33</v>
      </c>
      <c r="J40" s="125"/>
      <c r="K40" s="125"/>
    </row>
    <row r="41" spans="1:11" s="115" customFormat="1" ht="12.75">
      <c r="A41" s="260" t="s">
        <v>238</v>
      </c>
      <c r="B41" s="261"/>
      <c r="C41" s="261"/>
      <c r="D41" s="261"/>
      <c r="E41" s="261"/>
      <c r="F41" s="261"/>
      <c r="G41" s="261"/>
      <c r="H41" s="261"/>
      <c r="I41" s="123">
        <v>34</v>
      </c>
      <c r="J41" s="125"/>
      <c r="K41" s="125"/>
    </row>
    <row r="42" spans="1:11" s="115" customFormat="1" ht="12.75">
      <c r="A42" s="260" t="s">
        <v>239</v>
      </c>
      <c r="B42" s="261"/>
      <c r="C42" s="261"/>
      <c r="D42" s="261"/>
      <c r="E42" s="261"/>
      <c r="F42" s="261"/>
      <c r="G42" s="261"/>
      <c r="H42" s="261"/>
      <c r="I42" s="123">
        <v>35</v>
      </c>
      <c r="J42" s="125"/>
      <c r="K42" s="125"/>
    </row>
    <row r="43" spans="1:11" s="115" customFormat="1" ht="12.75">
      <c r="A43" s="260" t="s">
        <v>240</v>
      </c>
      <c r="B43" s="261"/>
      <c r="C43" s="261"/>
      <c r="D43" s="261"/>
      <c r="E43" s="261"/>
      <c r="F43" s="261"/>
      <c r="G43" s="261"/>
      <c r="H43" s="261"/>
      <c r="I43" s="123">
        <v>36</v>
      </c>
      <c r="J43" s="125">
        <v>1281528</v>
      </c>
      <c r="K43" s="125">
        <v>251508</v>
      </c>
    </row>
    <row r="44" spans="1:11" s="115" customFormat="1" ht="12.75">
      <c r="A44" s="262" t="s">
        <v>25</v>
      </c>
      <c r="B44" s="263"/>
      <c r="C44" s="263"/>
      <c r="D44" s="263"/>
      <c r="E44" s="263"/>
      <c r="F44" s="263"/>
      <c r="G44" s="263"/>
      <c r="H44" s="263"/>
      <c r="I44" s="123">
        <v>37</v>
      </c>
      <c r="J44" s="126">
        <f>SUM(J39:J43)</f>
        <v>12767324</v>
      </c>
      <c r="K44" s="127">
        <f>SUM(K39:K43)</f>
        <v>12557263</v>
      </c>
    </row>
    <row r="45" spans="1:11" s="115" customFormat="1" ht="12.75">
      <c r="A45" s="262" t="s">
        <v>88</v>
      </c>
      <c r="B45" s="263"/>
      <c r="C45" s="263"/>
      <c r="D45" s="263"/>
      <c r="E45" s="263"/>
      <c r="F45" s="263"/>
      <c r="G45" s="263"/>
      <c r="H45" s="263"/>
      <c r="I45" s="123">
        <v>38</v>
      </c>
      <c r="J45" s="126">
        <f>IF(J38&gt;J44,J38-J44,0)</f>
        <v>0</v>
      </c>
      <c r="K45" s="127">
        <f>IF(K38&gt;K44,K38-K44,0)</f>
        <v>0</v>
      </c>
    </row>
    <row r="46" spans="1:11" s="115" customFormat="1" ht="12.75">
      <c r="A46" s="262" t="s">
        <v>89</v>
      </c>
      <c r="B46" s="263"/>
      <c r="C46" s="263"/>
      <c r="D46" s="263"/>
      <c r="E46" s="263"/>
      <c r="F46" s="263"/>
      <c r="G46" s="263"/>
      <c r="H46" s="263"/>
      <c r="I46" s="123">
        <v>39</v>
      </c>
      <c r="J46" s="126">
        <f>IF(J44&gt;J38,J44-J38,0)</f>
        <v>885439</v>
      </c>
      <c r="K46" s="127">
        <f>IF(K44&gt;K38,K44-K38,0)</f>
        <v>4329416</v>
      </c>
    </row>
    <row r="47" spans="1:11" s="115" customFormat="1" ht="12.75">
      <c r="A47" s="262" t="s">
        <v>26</v>
      </c>
      <c r="B47" s="263"/>
      <c r="C47" s="263"/>
      <c r="D47" s="263"/>
      <c r="E47" s="263"/>
      <c r="F47" s="263"/>
      <c r="G47" s="263"/>
      <c r="H47" s="263"/>
      <c r="I47" s="123">
        <v>40</v>
      </c>
      <c r="J47" s="126">
        <f>IF(J19-J20+J32-J33+J45-J46&gt;0,J19-J20+J32-J33+J45-J46,0)</f>
        <v>0</v>
      </c>
      <c r="K47" s="127">
        <f>IF(K19-K20+K32-K33+K45-K46&gt;0,K19-K20+K32-K33+K45-K46,0)</f>
        <v>0</v>
      </c>
    </row>
    <row r="48" spans="1:11" s="115" customFormat="1" ht="12.75">
      <c r="A48" s="262" t="s">
        <v>256</v>
      </c>
      <c r="B48" s="263"/>
      <c r="C48" s="263"/>
      <c r="D48" s="263"/>
      <c r="E48" s="263"/>
      <c r="F48" s="263"/>
      <c r="G48" s="263"/>
      <c r="H48" s="263"/>
      <c r="I48" s="123">
        <v>41</v>
      </c>
      <c r="J48" s="126">
        <f>IF(J20-J19+J33-J32+J46-J45&gt;0,J20-J19+J33-J32+J46-J45,0)</f>
        <v>9866940</v>
      </c>
      <c r="K48" s="127">
        <f>IF(K20-K19+K33-K32+K46-K45&gt;0,K20-K19+K33-K32+K46-K45,0)</f>
        <v>1920963</v>
      </c>
    </row>
    <row r="49" spans="1:11" s="115" customFormat="1" ht="12.75">
      <c r="A49" s="262" t="s">
        <v>87</v>
      </c>
      <c r="B49" s="263"/>
      <c r="C49" s="263"/>
      <c r="D49" s="263"/>
      <c r="E49" s="263"/>
      <c r="F49" s="263"/>
      <c r="G49" s="263"/>
      <c r="H49" s="263"/>
      <c r="I49" s="123">
        <v>42</v>
      </c>
      <c r="J49" s="125">
        <v>21634551</v>
      </c>
      <c r="K49" s="125">
        <v>11767611</v>
      </c>
    </row>
    <row r="50" spans="1:11" s="115" customFormat="1" ht="12.75">
      <c r="A50" s="262" t="s">
        <v>224</v>
      </c>
      <c r="B50" s="263"/>
      <c r="C50" s="263"/>
      <c r="D50" s="263"/>
      <c r="E50" s="263"/>
      <c r="F50" s="263"/>
      <c r="G50" s="263"/>
      <c r="H50" s="263"/>
      <c r="I50" s="123">
        <v>43</v>
      </c>
      <c r="J50" s="125">
        <f>+J19</f>
        <v>3021024</v>
      </c>
      <c r="K50" s="125">
        <f>+K19</f>
        <v>6142681</v>
      </c>
    </row>
    <row r="51" spans="1:11" s="115" customFormat="1" ht="12.75">
      <c r="A51" s="262" t="s">
        <v>225</v>
      </c>
      <c r="B51" s="263"/>
      <c r="C51" s="263"/>
      <c r="D51" s="263"/>
      <c r="E51" s="263"/>
      <c r="F51" s="263"/>
      <c r="G51" s="263"/>
      <c r="H51" s="263"/>
      <c r="I51" s="123">
        <v>44</v>
      </c>
      <c r="J51" s="125">
        <f>+J33+J46</f>
        <v>12887964</v>
      </c>
      <c r="K51" s="125">
        <f>+K33+K46</f>
        <v>8063644</v>
      </c>
    </row>
    <row r="52" spans="1:11" s="115" customFormat="1" ht="12.75">
      <c r="A52" s="275" t="s">
        <v>226</v>
      </c>
      <c r="B52" s="279"/>
      <c r="C52" s="279"/>
      <c r="D52" s="279"/>
      <c r="E52" s="279"/>
      <c r="F52" s="279"/>
      <c r="G52" s="279"/>
      <c r="H52" s="279"/>
      <c r="I52" s="128">
        <v>45</v>
      </c>
      <c r="J52" s="129">
        <f>J49+J50-J51</f>
        <v>11767611</v>
      </c>
      <c r="K52" s="130">
        <f>K49+K50-K51</f>
        <v>9846648</v>
      </c>
    </row>
    <row r="53" ht="12.75">
      <c r="A53" s="132" t="s">
        <v>271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K5"/>
    <mergeCell ref="A6:H6"/>
    <mergeCell ref="A7:H7"/>
    <mergeCell ref="A8:H8"/>
    <mergeCell ref="H2:I2"/>
    <mergeCell ref="A3:H3"/>
    <mergeCell ref="A4:H4"/>
    <mergeCell ref="C2:D2"/>
    <mergeCell ref="E2:F2"/>
  </mergeCells>
  <conditionalFormatting sqref="H2 E2">
    <cfRule type="cellIs" priority="1" dxfId="2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39:K43 J35:K37 J6:K10 J12:K17 J22:K26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25"/>
  <sheetViews>
    <sheetView workbookViewId="0" topLeftCell="A1">
      <selection activeCell="A3" sqref="A3:K24"/>
    </sheetView>
  </sheetViews>
  <sheetFormatPr defaultColWidth="9.140625" defaultRowHeight="12.75"/>
  <cols>
    <col min="1" max="4" width="9.140625" style="115" customWidth="1"/>
    <col min="5" max="5" width="10.140625" style="115" bestFit="1" customWidth="1"/>
    <col min="6" max="9" width="9.140625" style="115" customWidth="1"/>
    <col min="10" max="10" width="10.00390625" style="115" customWidth="1"/>
    <col min="11" max="11" width="12.421875" style="115" customWidth="1"/>
    <col min="12" max="16384" width="9.140625" style="115" customWidth="1"/>
  </cols>
  <sheetData>
    <row r="1" spans="1:12" ht="12.75">
      <c r="A1" s="288" t="s">
        <v>325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134"/>
    </row>
    <row r="2" spans="1:12" ht="15.75">
      <c r="A2" s="102"/>
      <c r="B2" s="133"/>
      <c r="C2" s="280" t="s">
        <v>387</v>
      </c>
      <c r="D2" s="280"/>
      <c r="E2" s="106">
        <v>40179</v>
      </c>
      <c r="F2" s="105" t="s">
        <v>332</v>
      </c>
      <c r="G2" s="281">
        <v>40543</v>
      </c>
      <c r="H2" s="282"/>
      <c r="I2" s="133"/>
      <c r="J2" s="133"/>
      <c r="K2" s="133"/>
      <c r="L2" s="135"/>
    </row>
    <row r="3" spans="1:11" s="120" customFormat="1" ht="24" thickBot="1">
      <c r="A3" s="252" t="s">
        <v>178</v>
      </c>
      <c r="B3" s="252"/>
      <c r="C3" s="252"/>
      <c r="D3" s="252"/>
      <c r="E3" s="252"/>
      <c r="F3" s="252"/>
      <c r="G3" s="252"/>
      <c r="H3" s="252"/>
      <c r="I3" s="117" t="s">
        <v>392</v>
      </c>
      <c r="J3" s="131" t="s">
        <v>52</v>
      </c>
      <c r="K3" s="131" t="s">
        <v>53</v>
      </c>
    </row>
    <row r="4" spans="1:11" s="120" customFormat="1" ht="12.75">
      <c r="A4" s="283">
        <v>1</v>
      </c>
      <c r="B4" s="283"/>
      <c r="C4" s="283"/>
      <c r="D4" s="283"/>
      <c r="E4" s="283"/>
      <c r="F4" s="283"/>
      <c r="G4" s="283"/>
      <c r="H4" s="283"/>
      <c r="I4" s="136">
        <v>2</v>
      </c>
      <c r="J4" s="122" t="s">
        <v>104</v>
      </c>
      <c r="K4" s="122" t="s">
        <v>105</v>
      </c>
    </row>
    <row r="5" spans="1:11" ht="12.75">
      <c r="A5" s="260" t="s">
        <v>316</v>
      </c>
      <c r="B5" s="261"/>
      <c r="C5" s="261"/>
      <c r="D5" s="261"/>
      <c r="E5" s="261"/>
      <c r="F5" s="261"/>
      <c r="G5" s="261"/>
      <c r="H5" s="261"/>
      <c r="I5" s="123">
        <v>1</v>
      </c>
      <c r="J5" s="137">
        <v>103144000</v>
      </c>
      <c r="K5" s="137">
        <v>103144000</v>
      </c>
    </row>
    <row r="6" spans="1:11" ht="12.75">
      <c r="A6" s="260" t="s">
        <v>317</v>
      </c>
      <c r="B6" s="261"/>
      <c r="C6" s="261"/>
      <c r="D6" s="261"/>
      <c r="E6" s="261"/>
      <c r="F6" s="261"/>
      <c r="G6" s="261"/>
      <c r="H6" s="261"/>
      <c r="I6" s="123">
        <v>2</v>
      </c>
      <c r="J6" s="125"/>
      <c r="K6" s="125"/>
    </row>
    <row r="7" spans="1:11" ht="12.75">
      <c r="A7" s="260" t="s">
        <v>318</v>
      </c>
      <c r="B7" s="261"/>
      <c r="C7" s="261"/>
      <c r="D7" s="261"/>
      <c r="E7" s="261"/>
      <c r="F7" s="261"/>
      <c r="G7" s="261"/>
      <c r="H7" s="261"/>
      <c r="I7" s="123">
        <v>3</v>
      </c>
      <c r="J7" s="125">
        <v>9808842</v>
      </c>
      <c r="K7" s="125">
        <v>9808842</v>
      </c>
    </row>
    <row r="8" spans="1:11" ht="12.75">
      <c r="A8" s="260" t="s">
        <v>64</v>
      </c>
      <c r="B8" s="261"/>
      <c r="C8" s="261"/>
      <c r="D8" s="261"/>
      <c r="E8" s="261"/>
      <c r="F8" s="261"/>
      <c r="G8" s="261"/>
      <c r="H8" s="261"/>
      <c r="I8" s="123">
        <v>4</v>
      </c>
      <c r="J8" s="125">
        <v>4109005</v>
      </c>
      <c r="K8" s="125">
        <v>-2857099</v>
      </c>
    </row>
    <row r="9" spans="1:11" ht="12.75">
      <c r="A9" s="260" t="s">
        <v>65</v>
      </c>
      <c r="B9" s="261"/>
      <c r="C9" s="261"/>
      <c r="D9" s="261"/>
      <c r="E9" s="261"/>
      <c r="F9" s="261"/>
      <c r="G9" s="261"/>
      <c r="H9" s="261"/>
      <c r="I9" s="123">
        <v>5</v>
      </c>
      <c r="J9" s="125">
        <v>-6966104</v>
      </c>
      <c r="K9" s="125">
        <v>-8092915</v>
      </c>
    </row>
    <row r="10" spans="1:11" ht="12.75">
      <c r="A10" s="260" t="s">
        <v>66</v>
      </c>
      <c r="B10" s="261"/>
      <c r="C10" s="261"/>
      <c r="D10" s="261"/>
      <c r="E10" s="261"/>
      <c r="F10" s="261"/>
      <c r="G10" s="261"/>
      <c r="H10" s="261"/>
      <c r="I10" s="123">
        <v>6</v>
      </c>
      <c r="J10" s="125">
        <v>27164505</v>
      </c>
      <c r="K10" s="125">
        <v>27164505</v>
      </c>
    </row>
    <row r="11" spans="1:11" ht="12.75">
      <c r="A11" s="260" t="s">
        <v>67</v>
      </c>
      <c r="B11" s="261"/>
      <c r="C11" s="261"/>
      <c r="D11" s="261"/>
      <c r="E11" s="261"/>
      <c r="F11" s="261"/>
      <c r="G11" s="261"/>
      <c r="H11" s="261"/>
      <c r="I11" s="123">
        <v>7</v>
      </c>
      <c r="J11" s="125"/>
      <c r="K11" s="125"/>
    </row>
    <row r="12" spans="1:11" ht="12.75">
      <c r="A12" s="260" t="s">
        <v>68</v>
      </c>
      <c r="B12" s="261"/>
      <c r="C12" s="261"/>
      <c r="D12" s="261"/>
      <c r="E12" s="261"/>
      <c r="F12" s="261"/>
      <c r="G12" s="261"/>
      <c r="H12" s="261"/>
      <c r="I12" s="123">
        <v>8</v>
      </c>
      <c r="J12" s="125"/>
      <c r="K12" s="125"/>
    </row>
    <row r="13" spans="1:11" ht="12.75">
      <c r="A13" s="260" t="s">
        <v>69</v>
      </c>
      <c r="B13" s="261"/>
      <c r="C13" s="261"/>
      <c r="D13" s="261"/>
      <c r="E13" s="261"/>
      <c r="F13" s="261"/>
      <c r="G13" s="261"/>
      <c r="H13" s="261"/>
      <c r="I13" s="123">
        <v>9</v>
      </c>
      <c r="J13" s="125"/>
      <c r="K13" s="125"/>
    </row>
    <row r="14" spans="1:11" ht="12.75">
      <c r="A14" s="262" t="s">
        <v>377</v>
      </c>
      <c r="B14" s="263"/>
      <c r="C14" s="263"/>
      <c r="D14" s="263"/>
      <c r="E14" s="263"/>
      <c r="F14" s="263"/>
      <c r="G14" s="263"/>
      <c r="H14" s="263"/>
      <c r="I14" s="123">
        <v>10</v>
      </c>
      <c r="J14" s="127">
        <f>SUM(J5:J13)</f>
        <v>137260248</v>
      </c>
      <c r="K14" s="127">
        <f>SUM(K5:K13)</f>
        <v>129167333</v>
      </c>
    </row>
    <row r="15" spans="1:11" ht="12.75">
      <c r="A15" s="260" t="s">
        <v>378</v>
      </c>
      <c r="B15" s="261"/>
      <c r="C15" s="261"/>
      <c r="D15" s="261"/>
      <c r="E15" s="261"/>
      <c r="F15" s="261"/>
      <c r="G15" s="261"/>
      <c r="H15" s="261"/>
      <c r="I15" s="123">
        <v>11</v>
      </c>
      <c r="J15" s="125"/>
      <c r="K15" s="125"/>
    </row>
    <row r="16" spans="1:11" ht="12.75">
      <c r="A16" s="260" t="s">
        <v>379</v>
      </c>
      <c r="B16" s="261"/>
      <c r="C16" s="261"/>
      <c r="D16" s="261"/>
      <c r="E16" s="261"/>
      <c r="F16" s="261"/>
      <c r="G16" s="261"/>
      <c r="H16" s="261"/>
      <c r="I16" s="123">
        <v>12</v>
      </c>
      <c r="J16" s="125"/>
      <c r="K16" s="125"/>
    </row>
    <row r="17" spans="1:11" ht="12.75">
      <c r="A17" s="260" t="s">
        <v>380</v>
      </c>
      <c r="B17" s="261"/>
      <c r="C17" s="261"/>
      <c r="D17" s="261"/>
      <c r="E17" s="261"/>
      <c r="F17" s="261"/>
      <c r="G17" s="261"/>
      <c r="H17" s="261"/>
      <c r="I17" s="123">
        <v>13</v>
      </c>
      <c r="J17" s="125"/>
      <c r="K17" s="125"/>
    </row>
    <row r="18" spans="1:11" ht="12.75">
      <c r="A18" s="260" t="s">
        <v>381</v>
      </c>
      <c r="B18" s="261"/>
      <c r="C18" s="261"/>
      <c r="D18" s="261"/>
      <c r="E18" s="261"/>
      <c r="F18" s="261"/>
      <c r="G18" s="261"/>
      <c r="H18" s="261"/>
      <c r="I18" s="123">
        <v>14</v>
      </c>
      <c r="J18" s="125"/>
      <c r="K18" s="125"/>
    </row>
    <row r="19" spans="1:11" ht="12.75">
      <c r="A19" s="260" t="s">
        <v>382</v>
      </c>
      <c r="B19" s="261"/>
      <c r="C19" s="261"/>
      <c r="D19" s="261"/>
      <c r="E19" s="261"/>
      <c r="F19" s="261"/>
      <c r="G19" s="261"/>
      <c r="H19" s="261"/>
      <c r="I19" s="123">
        <v>15</v>
      </c>
      <c r="J19" s="125"/>
      <c r="K19" s="125"/>
    </row>
    <row r="20" spans="1:11" ht="12.75">
      <c r="A20" s="260" t="s">
        <v>383</v>
      </c>
      <c r="B20" s="261"/>
      <c r="C20" s="261"/>
      <c r="D20" s="261"/>
      <c r="E20" s="261"/>
      <c r="F20" s="261"/>
      <c r="G20" s="261"/>
      <c r="H20" s="261"/>
      <c r="I20" s="123">
        <v>16</v>
      </c>
      <c r="J20" s="125"/>
      <c r="K20" s="125"/>
    </row>
    <row r="21" spans="1:11" ht="12.75">
      <c r="A21" s="262" t="s">
        <v>241</v>
      </c>
      <c r="B21" s="263"/>
      <c r="C21" s="263"/>
      <c r="D21" s="263"/>
      <c r="E21" s="263"/>
      <c r="F21" s="263"/>
      <c r="G21" s="263"/>
      <c r="H21" s="263"/>
      <c r="I21" s="123">
        <v>17</v>
      </c>
      <c r="J21" s="130">
        <f>SUM(J15:J20)</f>
        <v>0</v>
      </c>
      <c r="K21" s="130">
        <f>SUM(K15:K20)</f>
        <v>0</v>
      </c>
    </row>
    <row r="22" spans="1:11" s="120" customFormat="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4" t="s">
        <v>333</v>
      </c>
      <c r="B23" s="285"/>
      <c r="C23" s="285"/>
      <c r="D23" s="285"/>
      <c r="E23" s="285"/>
      <c r="F23" s="285"/>
      <c r="G23" s="285"/>
      <c r="H23" s="285"/>
      <c r="I23" s="138">
        <v>18</v>
      </c>
      <c r="J23" s="137"/>
      <c r="K23" s="137"/>
    </row>
    <row r="24" spans="1:11" ht="23.25" customHeight="1">
      <c r="A24" s="264" t="s">
        <v>334</v>
      </c>
      <c r="B24" s="265"/>
      <c r="C24" s="265"/>
      <c r="D24" s="265"/>
      <c r="E24" s="265"/>
      <c r="F24" s="265"/>
      <c r="G24" s="265"/>
      <c r="H24" s="265"/>
      <c r="I24" s="128">
        <v>19</v>
      </c>
      <c r="J24" s="130"/>
      <c r="K24" s="130"/>
    </row>
    <row r="25" spans="1:11" ht="30" customHeight="1">
      <c r="A25" s="286" t="s">
        <v>335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2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Hoteli maestral d.d.</cp:lastModifiedBy>
  <cp:lastPrinted>2011-04-14T09:23:03Z</cp:lastPrinted>
  <dcterms:created xsi:type="dcterms:W3CDTF">2008-10-17T11:51:54Z</dcterms:created>
  <dcterms:modified xsi:type="dcterms:W3CDTF">2011-04-18T07:25:56Z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