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18 Javna objava ZTK\2018-12-31 Javna objava po ZTK konačno\"/>
    </mc:Choice>
  </mc:AlternateContent>
  <xr:revisionPtr revIDLastSave="0" documentId="8_{96D71862-00DB-4C52-971B-32B67A4A8923}" xr6:coauthVersionLast="36" xr6:coauthVersionMax="36" xr10:uidLastSave="{00000000-0000-0000-0000-000000000000}"/>
  <bookViews>
    <workbookView xWindow="0" yWindow="0" windowWidth="28800" windowHeight="11625"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Bilješke!$A$1:$J$40</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0" i="18" l="1"/>
  <c r="Q15" i="22" l="1"/>
  <c r="I71" i="18"/>
  <c r="I25" i="18"/>
  <c r="I26" i="18"/>
  <c r="H16" i="19" l="1"/>
  <c r="H24" i="19"/>
  <c r="H18" i="19"/>
  <c r="H20" i="18" l="1"/>
  <c r="H19" i="18"/>
  <c r="T55" i="22" l="1"/>
  <c r="N55" i="22"/>
  <c r="I83" i="18"/>
  <c r="I79" i="18"/>
  <c r="T11" i="22"/>
  <c r="H8" i="20" l="1"/>
  <c r="H35" i="19"/>
  <c r="H42" i="18"/>
  <c r="I42" i="18"/>
  <c r="H35" i="18"/>
  <c r="I35" i="18"/>
  <c r="I34" i="18"/>
  <c r="H34" i="18"/>
  <c r="H93" i="18"/>
  <c r="H46" i="18"/>
  <c r="C28" i="23"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V59" i="22"/>
  <c r="V60" i="22" s="1"/>
  <c r="K60" i="22"/>
  <c r="I61" i="22"/>
  <c r="J61" i="22"/>
  <c r="K61" i="22"/>
  <c r="L61" i="22"/>
  <c r="M61" i="22"/>
  <c r="N61" i="22"/>
  <c r="O61" i="22"/>
  <c r="P61" i="22"/>
  <c r="Q61" i="22"/>
  <c r="R61" i="22"/>
  <c r="S61" i="22"/>
  <c r="T61" i="22"/>
  <c r="V61" i="22"/>
  <c r="H61" i="22"/>
  <c r="H59" i="22"/>
  <c r="H60" i="22" s="1"/>
  <c r="U61" i="22" l="1"/>
  <c r="W61" i="22"/>
  <c r="W33" i="22"/>
  <c r="U33" i="22"/>
  <c r="W31" i="22"/>
  <c r="W32" i="22" s="1"/>
  <c r="U31" i="22"/>
  <c r="U32" i="22" s="1"/>
  <c r="W59" i="22"/>
  <c r="U59" i="22"/>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R10" i="22"/>
  <c r="R29" i="22" s="1"/>
  <c r="R35" i="22" s="1"/>
  <c r="R38" i="22" s="1"/>
  <c r="R57" i="22" s="1"/>
  <c r="S10" i="22"/>
  <c r="S29" i="22" s="1"/>
  <c r="S35" i="22" s="1"/>
  <c r="S38" i="22" s="1"/>
  <c r="S57" i="22" s="1"/>
  <c r="T10" i="22"/>
  <c r="T29" i="22" s="1"/>
  <c r="T35" i="22" s="1"/>
  <c r="T38" i="22" s="1"/>
  <c r="U10" i="22"/>
  <c r="U29" i="22" s="1"/>
  <c r="V10" i="22"/>
  <c r="V29" i="22" s="1"/>
  <c r="V35" i="22" s="1"/>
  <c r="V38" i="22" s="1"/>
  <c r="V57" i="22" s="1"/>
  <c r="W10" i="22"/>
  <c r="W29" i="22" s="1"/>
  <c r="H10" i="22"/>
  <c r="H29" i="22" s="1"/>
  <c r="H35" i="22" s="1"/>
  <c r="H38" i="22" s="1"/>
  <c r="H57" i="22" s="1"/>
  <c r="I46" i="21"/>
  <c r="H46" i="21"/>
  <c r="I40" i="21"/>
  <c r="H40" i="21"/>
  <c r="Q38" i="22" l="1"/>
  <c r="Q57" i="22" s="1"/>
  <c r="U35" i="22"/>
  <c r="H47" i="21"/>
  <c r="I47" i="21"/>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U38" i="22"/>
  <c r="I55" i="20"/>
  <c r="I24" i="20"/>
  <c r="I27" i="20" s="1"/>
  <c r="H55" i="20"/>
  <c r="H24" i="20"/>
  <c r="H27" i="20" s="1"/>
  <c r="I42" i="20"/>
  <c r="I34" i="21"/>
  <c r="I49" i="21" s="1"/>
  <c r="I51" i="21" s="1"/>
  <c r="H42" i="20"/>
  <c r="H34" i="21"/>
  <c r="H49" i="21" s="1"/>
  <c r="H51" i="21" s="1"/>
  <c r="I89" i="19"/>
  <c r="I99" i="19" s="1"/>
  <c r="H89" i="19"/>
  <c r="H99" i="19" s="1"/>
  <c r="H69" i="19"/>
  <c r="I47" i="19"/>
  <c r="H47" i="19"/>
  <c r="H36" i="19"/>
  <c r="I36" i="19"/>
  <c r="I28" i="19"/>
  <c r="H28" i="19"/>
  <c r="I25" i="19"/>
  <c r="H25" i="19"/>
  <c r="I19" i="19"/>
  <c r="H19" i="19"/>
  <c r="I15" i="19"/>
  <c r="H15" i="19"/>
  <c r="I7" i="19"/>
  <c r="H7" i="19"/>
  <c r="I115" i="18"/>
  <c r="H115" i="18"/>
  <c r="I103" i="18"/>
  <c r="H103" i="18"/>
  <c r="I96" i="18"/>
  <c r="H96" i="18"/>
  <c r="I89" i="18"/>
  <c r="H89" i="18"/>
  <c r="I92" i="18"/>
  <c r="T39" i="22" s="1"/>
  <c r="H92" i="18"/>
  <c r="I85" i="18"/>
  <c r="H85" i="18"/>
  <c r="I60" i="18"/>
  <c r="H60" i="18"/>
  <c r="H53" i="18"/>
  <c r="I53" i="18"/>
  <c r="I45" i="18"/>
  <c r="H45" i="18"/>
  <c r="H17" i="18"/>
  <c r="U39" i="22" l="1"/>
  <c r="T60" i="22"/>
  <c r="T57" i="22"/>
  <c r="I57" i="20"/>
  <c r="I59" i="20" s="1"/>
  <c r="H57" i="20"/>
  <c r="H59" i="20" s="1"/>
  <c r="H59" i="19"/>
  <c r="I59" i="19"/>
  <c r="H75" i="18"/>
  <c r="H131" i="18" s="1"/>
  <c r="H13" i="19"/>
  <c r="H60" i="19" s="1"/>
  <c r="H44" i="18"/>
  <c r="I75" i="18"/>
  <c r="I131" i="18" s="1"/>
  <c r="I13" i="19"/>
  <c r="I60" i="19" s="1"/>
  <c r="I44" i="18"/>
  <c r="I38" i="18"/>
  <c r="H38" i="18"/>
  <c r="I27" i="18"/>
  <c r="H27" i="18"/>
  <c r="I17" i="18"/>
  <c r="H10" i="18"/>
  <c r="I10" i="18"/>
  <c r="W39" i="22" l="1"/>
  <c r="U60" i="22"/>
  <c r="U57" i="22"/>
  <c r="H63" i="19"/>
  <c r="H9" i="18"/>
  <c r="H72" i="18" s="1"/>
  <c r="I62" i="19"/>
  <c r="I63" i="19"/>
  <c r="H62" i="19"/>
  <c r="H61" i="19"/>
  <c r="I61" i="19"/>
  <c r="I9" i="18"/>
  <c r="I72" i="18" s="1"/>
  <c r="W60" i="22" l="1"/>
  <c r="W57" i="22"/>
  <c r="H66" i="19"/>
  <c r="H67" i="19"/>
  <c r="I66" i="19"/>
  <c r="I67" i="19"/>
  <c r="I88" i="19" s="1"/>
  <c r="I100" i="19" s="1"/>
  <c r="I103" i="19" s="1"/>
  <c r="I102" i="19" s="1"/>
  <c r="I65" i="19"/>
  <c r="I85" i="19" s="1"/>
  <c r="I84" i="19" s="1"/>
  <c r="H65" i="19"/>
  <c r="H88" i="19" l="1"/>
  <c r="H100" i="19" s="1"/>
  <c r="H103" i="19" s="1"/>
  <c r="H102" i="19" s="1"/>
  <c r="H85" i="19"/>
  <c r="H84" i="19" s="1"/>
</calcChain>
</file>

<file path=xl/sharedStrings.xml><?xml version="1.0" encoding="utf-8"?>
<sst xmlns="http://schemas.openxmlformats.org/spreadsheetml/2006/main" count="518" uniqueCount="457">
  <si>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</si>
  <si>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</si>
  <si>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</si>
  <si>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</si>
  <si>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</si>
  <si>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</si>
  <si>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</si>
  <si>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</si>
  <si>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</si>
  <si>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</si>
  <si>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</si>
  <si>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</si>
  <si>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</si>
  <si>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</si>
  <si>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</si>
  <si>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</si>
  <si>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</si>
  <si>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</si>
  <si>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</si>
  <si>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</si>
  <si>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</si>
  <si>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</si>
  <si>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</si>
  <si>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</si>
  <si>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</si>
  <si>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</si>
  <si>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</si>
  <si>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</si>
  <si>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</si>
  <si>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</si>
  <si>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</si>
  <si>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</si>
  <si>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</si>
  <si>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</si>
  <si>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</si>
  <si>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</si>
  <si>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</si>
  <si>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</si>
  <si>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</si>
  <si>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</si>
  <si>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</si>
  <si>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</si>
  <si>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</si>
  <si>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</si>
  <si>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</si>
  <si>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</si>
  <si>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</si>
  <si>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</si>
  <si>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</si>
  <si>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</si>
  <si>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</si>
  <si>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</si>
  <si>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</si>
  <si>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</si>
  <si>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</si>
  <si>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</si>
  <si>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</si>
  <si>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</si>
  <si>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</si>
  <si>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</si>
  <si>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</si>
  <si>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</si>
  <si>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</si>
  <si>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</si>
  <si>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</si>
  <si>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</si>
  <si>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</si>
  <si>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</si>
  <si>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</si>
  <si>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</si>
  <si>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</si>
  <si>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</si>
  <si>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</si>
  <si>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</si>
  <si>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</si>
  <si>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</si>
  <si>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</si>
  <si>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</si>
  <si>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</si>
  <si>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</si>
  <si>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</si>
  <si>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</si>
  <si>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</si>
  <si>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</si>
  <si>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</si>
  <si>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</si>
  <si>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</si>
  <si>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</si>
  <si>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</si>
  <si>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</si>
  <si>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</si>
  <si>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</si>
  <si>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</si>
  <si>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</si>
  <si>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</si>
  <si>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</si>
  <si>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</si>
  <si>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</si>
  <si>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</si>
  <si>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</si>
  <si>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</si>
  <si>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</si>
  <si>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</si>
  <si>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</si>
  <si>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</si>
  <si>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</si>
  <si>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</si>
  <si>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</si>
  <si>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</si>
  <si>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</si>
  <si>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</si>
  <si>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</si>
  <si>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</si>
  <si>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</si>
  <si>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</si>
  <si>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</si>
  <si>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</si>
  <si>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</si>
  <si>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</si>
  <si>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</si>
  <si>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</si>
  <si>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</si>
  <si>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</si>
  <si>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</si>
  <si>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</si>
  <si>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</si>
  <si>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</si>
  <si>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</si>
  <si>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</si>
  <si>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</si>
  <si>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</si>
  <si>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</si>
  <si>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</si>
  <si>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</si>
  <si>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</si>
  <si>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</si>
  <si>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</si>
  <si>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</si>
  <si>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</si>
  <si>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</si>
  <si>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</si>
  <si>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</si>
  <si>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</si>
  <si>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</si>
  <si>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</si>
  <si>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</si>
  <si>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</si>
  <si>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</si>
  <si>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</si>
  <si>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</si>
  <si>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</si>
  <si>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</si>
  <si>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</si>
  <si>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</si>
  <si>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</si>
  <si>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</si>
  <si>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</si>
  <si>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</si>
  <si>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</si>
  <si>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</si>
  <si>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</si>
  <si>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</si>
  <si>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</si>
  <si>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</si>
  <si>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</si>
  <si>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</si>
  <si>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</si>
  <si>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</si>
  <si>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</si>
  <si>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</si>
  <si>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</si>
  <si>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</si>
  <si>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</si>
  <si>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</si>
  <si>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</si>
  <si>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</si>
  <si>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</si>
  <si>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</si>
  <si>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</si>
  <si>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</si>
  <si>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</si>
  <si>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</si>
  <si>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</si>
  <si>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</si>
  <si>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</si>
  <si>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</si>
  <si>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</si>
  <si>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</si>
  <si>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</si>
  <si>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</si>
  <si>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</si>
  <si>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</si>
  <si>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</si>
  <si>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</si>
  <si>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</si>
  <si>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</si>
  <si>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</si>
  <si>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</si>
  <si>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</si>
  <si>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</si>
  <si>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</si>
  <si>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</si>
  <si>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</si>
  <si>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</si>
  <si>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</si>
  <si>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</si>
  <si>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</si>
  <si>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</si>
  <si>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</si>
  <si>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</si>
  <si>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</si>
  <si>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</si>
  <si>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</si>
  <si>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</si>
  <si>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</si>
  <si>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</si>
  <si>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</si>
  <si>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</si>
  <si>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</si>
  <si>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</si>
  <si>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</si>
  <si>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</si>
  <si>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</si>
  <si>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</si>
  <si>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</si>
  <si>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</si>
  <si>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</si>
  <si>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</si>
  <si>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</si>
  <si>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</si>
  <si>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</si>
  <si>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</si>
  <si>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</si>
  <si>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</si>
  <si>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</si>
  <si>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</si>
  <si>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</si>
  <si>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</si>
  <si>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</si>
  <si>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</si>
  <si>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</si>
  <si>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</si>
  <si>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</si>
  <si>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</si>
  <si>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</si>
  <si>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</si>
  <si>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</si>
  <si>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</si>
  <si>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</si>
  <si>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</si>
  <si>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</si>
  <si>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</si>
  <si>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</si>
  <si>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</si>
  <si>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</si>
  <si>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</si>
  <si>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</si>
  <si>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</si>
  <si>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</si>
  <si>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</si>
  <si>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</si>
  <si>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</si>
  <si>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</si>
  <si>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</si>
  <si>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</si>
  <si>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</si>
  <si>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</si>
  <si>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</si>
  <si>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</si>
  <si>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</si>
  <si>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</si>
  <si>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</si>
  <si>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</si>
  <si>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</si>
  <si>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</si>
  <si>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</si>
  <si>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</si>
  <si>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</si>
  <si>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</si>
  <si>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</si>
  <si>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</si>
  <si>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</si>
  <si>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</si>
  <si>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</si>
  <si>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</si>
  <si>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</si>
  <si>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</si>
  <si>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</si>
  <si>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</si>
  <si>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</si>
  <si>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</si>
  <si>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</si>
  <si>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</si>
  <si>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</si>
  <si>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</si>
  <si>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</si>
  <si>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</si>
  <si>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</si>
  <si>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</si>
  <si>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</si>
  <si>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</si>
  <si>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</si>
  <si>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</si>
  <si>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</si>
  <si>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</si>
  <si>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</si>
  <si>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</si>
  <si>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</si>
  <si>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</si>
  <si>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</si>
  <si>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</si>
  <si>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</si>
  <si>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</si>
  <si>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</si>
  <si>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</si>
  <si>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</si>
  <si>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</si>
  <si>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</si>
  <si>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</si>
  <si>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</si>
  <si>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</si>
  <si>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</si>
  <si>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</si>
  <si>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</si>
  <si>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</si>
  <si>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</si>
  <si>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</si>
  <si>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</si>
  <si>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</si>
  <si>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</si>
  <si>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</si>
  <si>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</si>
  <si>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</si>
  <si>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</si>
  <si>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</si>
  <si>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</si>
  <si>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</si>
  <si>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</si>
  <si>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</si>
  <si>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</si>
  <si>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</si>
  <si>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</si>
  <si>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</si>
  <si>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</si>
  <si>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</si>
  <si>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</si>
  <si>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</si>
  <si>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</si>
  <si>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</si>
  <si>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</si>
  <si>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</si>
  <si>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</si>
  <si>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</si>
  <si>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</si>
  <si>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</si>
  <si>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</si>
  <si>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</si>
  <si>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</si>
  <si>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</si>
  <si>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</si>
  <si>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</si>
  <si>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</si>
  <si>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</si>
  <si>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</si>
  <si>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</si>
  <si>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</si>
  <si>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</si>
  <si>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</si>
  <si>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</si>
  <si>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</si>
  <si>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</si>
  <si>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</si>
  <si>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</si>
  <si>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</si>
  <si>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</si>
  <si>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</si>
  <si>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</si>
  <si>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</si>
  <si>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</si>
  <si>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</si>
  <si>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</si>
  <si>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</si>
  <si>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</si>
  <si>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</si>
  <si>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</si>
  <si>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</si>
  <si>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</si>
  <si>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</si>
  <si>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</si>
  <si>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</si>
  <si>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</si>
  <si>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</si>
  <si>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</si>
  <si>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</si>
  <si>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</si>
  <si>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</si>
  <si>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</si>
  <si>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</si>
  <si>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</si>
  <si>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</si>
  <si>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</si>
  <si>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</si>
  <si>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</si>
  <si>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</si>
  <si>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</si>
  <si>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</si>
  <si>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</si>
  <si>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</si>
  <si>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</si>
  <si>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</si>
  <si>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</si>
  <si>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</si>
  <si>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</si>
  <si>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</si>
  <si>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</si>
  <si>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</si>
  <si>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</si>
  <si>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</si>
  <si>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</si>
  <si>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</si>
  <si>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</si>
  <si>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</si>
  <si>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</si>
  <si>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</si>
  <si>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</si>
  <si>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</si>
  <si>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</si>
  <si>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</si>
  <si>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</si>
  <si>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</si>
  <si>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31.12.2018 </t>
  </si>
  <si>
    <t>u razdoblju 01.01.2018 do 31.12.2018</t>
  </si>
  <si>
    <t>03298744</t>
  </si>
  <si>
    <t>080037012</t>
  </si>
  <si>
    <t>24640993045</t>
  </si>
  <si>
    <t>CROATIA AIRLINES D.D.</t>
  </si>
  <si>
    <t>ZAGREB</t>
  </si>
  <si>
    <t>BANI 75 B, BUZIN</t>
  </si>
  <si>
    <t>vesna.mikulec@croatiaairlines.hr</t>
  </si>
  <si>
    <t>www.croatiaairlines.hr</t>
  </si>
  <si>
    <t>u razdoblju 01.01.2018. do 31.12.2018.</t>
  </si>
  <si>
    <t>HR</t>
  </si>
  <si>
    <t>74780000B0QHXQ0LQW20</t>
  </si>
  <si>
    <t>VESNA MIKULEC</t>
  </si>
  <si>
    <t>01/6160049</t>
  </si>
  <si>
    <t>KPMG CROATIA D.O.O.</t>
  </si>
  <si>
    <t>AMADEUS CROATIA D.D.</t>
  </si>
  <si>
    <t>OBZOR PUTOVANJA D.O.O.</t>
  </si>
  <si>
    <t>Zagreb, Ilica 150</t>
  </si>
  <si>
    <t>00485764</t>
  </si>
  <si>
    <t>00490555</t>
  </si>
  <si>
    <t>Obveznik: 24640993045; CROATIA AIRLINES GRUPA</t>
  </si>
  <si>
    <t>Obveznik: CROATIA AIRLINES GRUPA</t>
  </si>
  <si>
    <t>Obveznik:  CROATIA AIRLINES GRUPA__________________________________________</t>
  </si>
  <si>
    <t>Buzin, Bani 75B</t>
  </si>
  <si>
    <r>
      <t xml:space="preserve">                   BILJEŠKE UZ GODIŠNJE FINANCIJSKE IZVJEŠTAJE (GFI)
Naziv izdavatelja:   CROATIA AIRLINES D.D.
OIB:   24640993045
Izvještajno razdoblje: 1.1.-31.12.2018.
Bilješke uz revidirane financijske izvještaje Croatia Airlines Grupe sastavljene se sukladno odredbama Međunarodnih standarda financijskog izvještavanja (dalje: MSFI) na način da:
a) pružaju informacije o osnovi za sastavljanje financijskih izvještaja i određenim računovodstvenim politikama primijenjenim u skladu s Međunarodnim računovodstvenim standardom 1 (MRS 1),
b) su objavljene informacije prema MSFI-a koje nisu prezentirane u izvještaju o financijskom položaju, izvještaju o sveobuhvatnoj dobiti, izvještaju o novčanim tokovima i izvještaju o promjenama kapitala,
c) pružaju dodatne informacije koje nisu prezentirane u izvještaju o financijskom položaju, izvještaju o sveobuhvatnoj dobiti, izvještaju o novčanim tokovima i izvještaju o promjeni kapitala, ali su važne za razumijevanje bilo kojeg od njih.
U pripremi odvojenih i konsolidiranih fiancijskih izvještaja društvo Croatia Ailines i Grupa primjenjuju računovodstvene politike koje su u skladu s MSFI te Zakonom o računovodstvu. U financijskim izvještajima za razdoblje siječanj - prosinac 2018. godine Društvo i Grupa  primjenjuje iste računovodstvene politike i metode kao i u financijskim izvještajima za godinu koja je završila 31.12.2017. godine. 
U priloženim financijskim izvještajima izmijenjena su izvješća za usporednu 2017. godinu zbog utvrđene računovodstvene pogreške. Uprava društva Croatia Airlines d.d. je prilikom analize poslovanja sektora tehnike te provedbom testiranja prijenosa podataka iz sustava u kojem sektor tehnike vodi evidenciju opreme, rezervnih dijelova, alata i potrošnih rezervnih dijelova u računovodstveni sustav koji je osnova za proces financijskog izvještavanja utvrdila pogreške u prijenosu podataka. S obzirom da je navedena pogreška rezultat propusta u prethodnim godinama, ista je ispravljena u skladu sa zahtjevima standarda MRS 8</t>
    </r>
    <r>
      <rPr>
        <i/>
        <sz val="10"/>
        <rFont val="Arial"/>
        <family val="2"/>
        <charset val="238"/>
      </rPr>
      <t xml:space="preserve"> </t>
    </r>
    <r>
      <rPr>
        <sz val="10"/>
        <rFont val="Arial"/>
        <family val="2"/>
        <charset val="238"/>
      </rPr>
      <t xml:space="preserve">računovodstvene politike, promjene računovodstvenih procjena i pogreške. Učinak ispravka pogreške na izvještaj o sveobuhvatnoj dobiti Grupe Croatia Airlines je smanjenje neto dobiti poslovanja za 17,6 mln kuna.
Detaljne bilješke sastavni su dio Konsolidiranog i odvojenog fiancijskog izvještaja za godinu koja je završila 31.prosinca 2018. zajedno sa Izvješćem neovisnog revizora. </t>
    </r>
  </si>
  <si>
    <t>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</si>
</sst>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3" workbookViewId="0">
      <selection activeCell="A40" sqref="A40:D40"/>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5"/>
      <c r="B3" s="86"/>
      <c r="C3" s="86"/>
      <c r="D3" s="86"/>
      <c r="E3" s="86"/>
      <c r="F3" s="86"/>
      <c r="G3" s="86"/>
      <c r="H3" s="86"/>
      <c r="I3" s="86"/>
      <c r="J3" s="87"/>
    </row>
    <row r="4" spans="1:10" ht="33.6" customHeight="1" x14ac:dyDescent="0.2">
      <c r="A4" s="163" t="s">
        <v>389</v>
      </c>
      <c r="B4" s="164"/>
      <c r="C4" s="164"/>
      <c r="D4" s="164"/>
      <c r="E4" s="165">
        <v>43101</v>
      </c>
      <c r="F4" s="166"/>
      <c r="G4" s="93" t="s">
        <v>0</v>
      </c>
      <c r="H4" s="165">
        <v>43465</v>
      </c>
      <c r="I4" s="166"/>
      <c r="J4" s="31"/>
    </row>
    <row r="5" spans="1:10" s="98" customFormat="1" ht="10.15" customHeight="1" x14ac:dyDescent="0.25">
      <c r="A5" s="167"/>
      <c r="B5" s="168"/>
      <c r="C5" s="168"/>
      <c r="D5" s="168"/>
      <c r="E5" s="168"/>
      <c r="F5" s="168"/>
      <c r="G5" s="168"/>
      <c r="H5" s="168"/>
      <c r="I5" s="168"/>
      <c r="J5" s="169"/>
    </row>
    <row r="6" spans="1:10" ht="20.45" customHeight="1" x14ac:dyDescent="0.2">
      <c r="A6" s="88"/>
      <c r="B6" s="99" t="s">
        <v>411</v>
      </c>
      <c r="C6" s="89"/>
      <c r="D6" s="89"/>
      <c r="E6" s="111">
        <v>2018</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1"/>
      <c r="J9" s="92"/>
    </row>
    <row r="10" spans="1:10" ht="25.9" customHeight="1" x14ac:dyDescent="0.2">
      <c r="A10" s="138" t="s">
        <v>390</v>
      </c>
      <c r="B10" s="139"/>
      <c r="C10" s="150" t="s">
        <v>432</v>
      </c>
      <c r="D10" s="151"/>
      <c r="E10" s="83"/>
      <c r="F10" s="173" t="s">
        <v>413</v>
      </c>
      <c r="G10" s="174"/>
      <c r="H10" s="132" t="s">
        <v>441</v>
      </c>
      <c r="I10" s="133"/>
      <c r="J10" s="34"/>
    </row>
    <row r="11" spans="1:10" ht="15.6" customHeight="1" x14ac:dyDescent="0.2">
      <c r="A11" s="33"/>
      <c r="B11" s="82"/>
      <c r="C11" s="82"/>
      <c r="D11" s="82"/>
      <c r="E11" s="157"/>
      <c r="F11" s="157"/>
      <c r="G11" s="157"/>
      <c r="H11" s="157"/>
      <c r="I11" s="84"/>
      <c r="J11" s="34"/>
    </row>
    <row r="12" spans="1:10" ht="21" customHeight="1" x14ac:dyDescent="0.2">
      <c r="A12" s="122" t="s">
        <v>405</v>
      </c>
      <c r="B12" s="139"/>
      <c r="C12" s="150" t="s">
        <v>433</v>
      </c>
      <c r="D12" s="151"/>
      <c r="E12" s="156"/>
      <c r="F12" s="157"/>
      <c r="G12" s="157"/>
      <c r="H12" s="157"/>
      <c r="I12" s="84"/>
      <c r="J12" s="34"/>
    </row>
    <row r="13" spans="1:10" ht="10.9" customHeight="1" x14ac:dyDescent="0.2">
      <c r="A13" s="83"/>
      <c r="B13" s="84"/>
      <c r="C13" s="82"/>
      <c r="D13" s="82"/>
      <c r="E13" s="120"/>
      <c r="F13" s="120"/>
      <c r="G13" s="120"/>
      <c r="H13" s="120"/>
      <c r="I13" s="82"/>
      <c r="J13" s="35"/>
    </row>
    <row r="14" spans="1:10" ht="22.9" customHeight="1" x14ac:dyDescent="0.2">
      <c r="A14" s="122" t="s">
        <v>391</v>
      </c>
      <c r="B14" s="149"/>
      <c r="C14" s="150" t="s">
        <v>434</v>
      </c>
      <c r="D14" s="151"/>
      <c r="E14" s="155"/>
      <c r="F14" s="140"/>
      <c r="G14" s="97" t="s">
        <v>414</v>
      </c>
      <c r="H14" s="132" t="s">
        <v>442</v>
      </c>
      <c r="I14" s="133"/>
      <c r="J14" s="94"/>
    </row>
    <row r="15" spans="1:10" ht="14.45" customHeight="1" x14ac:dyDescent="0.2">
      <c r="A15" s="83"/>
      <c r="B15" s="84"/>
      <c r="C15" s="82"/>
      <c r="D15" s="82"/>
      <c r="E15" s="120"/>
      <c r="F15" s="120"/>
      <c r="G15" s="120"/>
      <c r="H15" s="120"/>
      <c r="I15" s="82"/>
      <c r="J15" s="35"/>
    </row>
    <row r="16" spans="1:10" ht="13.15" customHeight="1" x14ac:dyDescent="0.2">
      <c r="A16" s="122" t="s">
        <v>415</v>
      </c>
      <c r="B16" s="149"/>
      <c r="C16" s="150" t="s">
        <v>456</v>
      </c>
      <c r="D16" s="151"/>
      <c r="E16" s="90"/>
      <c r="F16" s="90"/>
      <c r="G16" s="90"/>
      <c r="H16" s="90"/>
      <c r="I16" s="90"/>
      <c r="J16" s="94"/>
    </row>
    <row r="17" spans="1:10" ht="14.45" customHeight="1" x14ac:dyDescent="0.2">
      <c r="A17" s="152"/>
      <c r="B17" s="153"/>
      <c r="C17" s="153"/>
      <c r="D17" s="153"/>
      <c r="E17" s="153"/>
      <c r="F17" s="153"/>
      <c r="G17" s="153"/>
      <c r="H17" s="153"/>
      <c r="I17" s="153"/>
      <c r="J17" s="154"/>
    </row>
    <row r="18" spans="1:10" x14ac:dyDescent="0.2">
      <c r="A18" s="138" t="s">
        <v>392</v>
      </c>
      <c r="B18" s="139"/>
      <c r="C18" s="124" t="s">
        <v>435</v>
      </c>
      <c r="D18" s="125"/>
      <c r="E18" s="125"/>
      <c r="F18" s="125"/>
      <c r="G18" s="125"/>
      <c r="H18" s="125"/>
      <c r="I18" s="125"/>
      <c r="J18" s="126"/>
    </row>
    <row r="19" spans="1:10" ht="14.25" x14ac:dyDescent="0.2">
      <c r="A19" s="33"/>
      <c r="B19" s="82"/>
      <c r="C19" s="96"/>
      <c r="D19" s="82"/>
      <c r="E19" s="120"/>
      <c r="F19" s="120"/>
      <c r="G19" s="120"/>
      <c r="H19" s="120"/>
      <c r="I19" s="82"/>
      <c r="J19" s="35"/>
    </row>
    <row r="20" spans="1:10" ht="14.25" x14ac:dyDescent="0.2">
      <c r="A20" s="138" t="s">
        <v>393</v>
      </c>
      <c r="B20" s="139"/>
      <c r="C20" s="132">
        <v>10010</v>
      </c>
      <c r="D20" s="133"/>
      <c r="E20" s="120"/>
      <c r="F20" s="120"/>
      <c r="G20" s="124" t="s">
        <v>436</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437</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438</v>
      </c>
      <c r="D24" s="145"/>
      <c r="E24" s="145"/>
      <c r="F24" s="145"/>
      <c r="G24" s="145"/>
      <c r="H24" s="145"/>
      <c r="I24" s="145"/>
      <c r="J24" s="146"/>
    </row>
    <row r="25" spans="1:10" ht="14.25" x14ac:dyDescent="0.2">
      <c r="A25" s="33"/>
      <c r="B25" s="82"/>
      <c r="C25" s="96"/>
      <c r="D25" s="82"/>
      <c r="E25" s="120"/>
      <c r="F25" s="120"/>
      <c r="G25" s="120"/>
      <c r="H25" s="120"/>
      <c r="I25" s="82"/>
      <c r="J25" s="35"/>
    </row>
    <row r="26" spans="1:10" ht="14.25" x14ac:dyDescent="0.2">
      <c r="A26" s="138" t="s">
        <v>396</v>
      </c>
      <c r="B26" s="139"/>
      <c r="C26" s="144" t="s">
        <v>439</v>
      </c>
      <c r="D26" s="145"/>
      <c r="E26" s="145"/>
      <c r="F26" s="145"/>
      <c r="G26" s="145"/>
      <c r="H26" s="145"/>
      <c r="I26" s="145"/>
      <c r="J26" s="146"/>
    </row>
    <row r="27" spans="1:10" ht="13.9" customHeight="1" x14ac:dyDescent="0.2">
      <c r="A27" s="33"/>
      <c r="B27" s="82"/>
      <c r="C27" s="96"/>
      <c r="D27" s="82"/>
      <c r="E27" s="120"/>
      <c r="F27" s="120"/>
      <c r="G27" s="120"/>
      <c r="H27" s="120"/>
      <c r="I27" s="82"/>
      <c r="J27" s="35"/>
    </row>
    <row r="28" spans="1:10" ht="22.9" customHeight="1" x14ac:dyDescent="0.2">
      <c r="A28" s="122" t="s">
        <v>406</v>
      </c>
      <c r="B28" s="139"/>
      <c r="C28" s="62">
        <f>959+17+8</f>
        <v>984</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0" t="s">
        <v>418</v>
      </c>
      <c r="D30" s="134" t="s">
        <v>416</v>
      </c>
      <c r="E30" s="135"/>
      <c r="F30" s="135"/>
      <c r="G30" s="135"/>
      <c r="H30" s="103" t="s">
        <v>417</v>
      </c>
      <c r="I30" s="104" t="s">
        <v>418</v>
      </c>
      <c r="J30" s="105"/>
    </row>
    <row r="31" spans="1:10" x14ac:dyDescent="0.2">
      <c r="A31" s="138"/>
      <c r="B31" s="139"/>
      <c r="C31" s="37"/>
      <c r="D31" s="93"/>
      <c r="E31" s="140"/>
      <c r="F31" s="140"/>
      <c r="G31" s="140"/>
      <c r="H31" s="140"/>
      <c r="I31" s="141"/>
      <c r="J31" s="142"/>
    </row>
    <row r="32" spans="1:10" x14ac:dyDescent="0.2">
      <c r="A32" s="138" t="s">
        <v>407</v>
      </c>
      <c r="B32" s="139"/>
      <c r="C32" s="62" t="s">
        <v>421</v>
      </c>
      <c r="D32" s="134" t="s">
        <v>419</v>
      </c>
      <c r="E32" s="135"/>
      <c r="F32" s="135"/>
      <c r="G32" s="135"/>
      <c r="H32" s="106" t="s">
        <v>420</v>
      </c>
      <c r="I32" s="107" t="s">
        <v>421</v>
      </c>
      <c r="J32" s="108"/>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2"/>
    </row>
    <row r="36" spans="1:10" x14ac:dyDescent="0.2">
      <c r="A36" s="127" t="s">
        <v>446</v>
      </c>
      <c r="B36" s="128"/>
      <c r="C36" s="128"/>
      <c r="D36" s="128"/>
      <c r="E36" s="127" t="s">
        <v>448</v>
      </c>
      <c r="F36" s="128"/>
      <c r="G36" s="128"/>
      <c r="H36" s="128"/>
      <c r="I36" s="129"/>
      <c r="J36" s="118" t="s">
        <v>449</v>
      </c>
    </row>
    <row r="37" spans="1:10" ht="14.25" x14ac:dyDescent="0.2">
      <c r="A37" s="33"/>
      <c r="B37" s="82"/>
      <c r="C37" s="96"/>
      <c r="D37" s="137"/>
      <c r="E37" s="137"/>
      <c r="F37" s="137"/>
      <c r="G37" s="137"/>
      <c r="H37" s="137"/>
      <c r="I37" s="137"/>
      <c r="J37" s="35"/>
    </row>
    <row r="38" spans="1:10" x14ac:dyDescent="0.2">
      <c r="A38" s="127" t="s">
        <v>447</v>
      </c>
      <c r="B38" s="128"/>
      <c r="C38" s="128"/>
      <c r="D38" s="129"/>
      <c r="E38" s="127" t="s">
        <v>454</v>
      </c>
      <c r="F38" s="128"/>
      <c r="G38" s="128"/>
      <c r="H38" s="128"/>
      <c r="I38" s="129"/>
      <c r="J38" s="118" t="s">
        <v>450</v>
      </c>
    </row>
    <row r="39" spans="1:10" ht="14.25" x14ac:dyDescent="0.2">
      <c r="A39" s="33"/>
      <c r="B39" s="82"/>
      <c r="C39" s="96"/>
      <c r="D39" s="95"/>
      <c r="E39" s="137"/>
      <c r="F39" s="137"/>
      <c r="G39" s="137"/>
      <c r="H39" s="137"/>
      <c r="I39" s="84"/>
      <c r="J39" s="35"/>
    </row>
    <row r="40" spans="1:10" x14ac:dyDescent="0.2">
      <c r="A40" s="127"/>
      <c r="B40" s="128"/>
      <c r="C40" s="128"/>
      <c r="D40" s="129"/>
      <c r="E40" s="127"/>
      <c r="F40" s="128"/>
      <c r="G40" s="128"/>
      <c r="H40" s="128"/>
      <c r="I40" s="129"/>
      <c r="J40" s="62"/>
    </row>
    <row r="41" spans="1:10" ht="14.25" x14ac:dyDescent="0.2">
      <c r="A41" s="33"/>
      <c r="B41" s="113"/>
      <c r="C41" s="112"/>
      <c r="D41" s="114"/>
      <c r="E41" s="114"/>
      <c r="F41" s="114"/>
      <c r="G41" s="114"/>
      <c r="H41" s="114"/>
      <c r="I41" s="115"/>
      <c r="J41" s="35"/>
    </row>
    <row r="42" spans="1:10" x14ac:dyDescent="0.2">
      <c r="A42" s="127"/>
      <c r="B42" s="128"/>
      <c r="C42" s="128"/>
      <c r="D42" s="129"/>
      <c r="E42" s="127"/>
      <c r="F42" s="128"/>
      <c r="G42" s="128"/>
      <c r="H42" s="128"/>
      <c r="I42" s="129"/>
      <c r="J42" s="62"/>
    </row>
    <row r="43" spans="1:10" ht="14.25" x14ac:dyDescent="0.2">
      <c r="A43" s="39"/>
      <c r="B43" s="96"/>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6"/>
      <c r="C45" s="96"/>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6"/>
      <c r="C47" s="96"/>
      <c r="D47" s="82"/>
      <c r="E47" s="120"/>
      <c r="F47" s="120"/>
      <c r="G47" s="119"/>
      <c r="H47" s="119"/>
      <c r="I47" s="82"/>
      <c r="J47" s="109" t="s">
        <v>422</v>
      </c>
    </row>
    <row r="48" spans="1:10" ht="14.25" x14ac:dyDescent="0.2">
      <c r="A48" s="39"/>
      <c r="B48" s="96"/>
      <c r="C48" s="96"/>
      <c r="D48" s="82"/>
      <c r="E48" s="120"/>
      <c r="F48" s="120"/>
      <c r="G48" s="119"/>
      <c r="H48" s="119"/>
      <c r="I48" s="82"/>
      <c r="J48" s="109"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6"/>
      <c r="C50" s="119"/>
      <c r="D50" s="119"/>
      <c r="E50" s="120"/>
      <c r="F50" s="120"/>
      <c r="G50" s="121" t="s">
        <v>425</v>
      </c>
      <c r="H50" s="121"/>
      <c r="I50" s="121"/>
      <c r="J50" s="40"/>
    </row>
    <row r="51" spans="1:10" ht="13.9" customHeight="1" x14ac:dyDescent="0.2">
      <c r="A51" s="122" t="s">
        <v>401</v>
      </c>
      <c r="B51" s="123"/>
      <c r="C51" s="124" t="s">
        <v>443</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444</v>
      </c>
      <c r="D53" s="180"/>
      <c r="E53" s="181"/>
      <c r="F53" s="120"/>
      <c r="G53" s="120"/>
      <c r="H53" s="135"/>
      <c r="I53" s="135"/>
      <c r="J53" s="182"/>
    </row>
    <row r="54" spans="1:10" ht="14.25" x14ac:dyDescent="0.2">
      <c r="A54" s="33"/>
      <c r="B54" s="82"/>
      <c r="C54" s="96"/>
      <c r="D54" s="82"/>
      <c r="E54" s="120"/>
      <c r="F54" s="120"/>
      <c r="G54" s="120"/>
      <c r="H54" s="120"/>
      <c r="I54" s="82"/>
      <c r="J54" s="35"/>
    </row>
    <row r="55" spans="1:10" ht="14.45" customHeight="1" x14ac:dyDescent="0.2">
      <c r="A55" s="122" t="s">
        <v>395</v>
      </c>
      <c r="B55" s="123"/>
      <c r="C55" s="175" t="s">
        <v>438</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445</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1" zoomScale="110" zoomScaleNormal="100" workbookViewId="0">
      <selection activeCell="I67" sqref="I67"/>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430</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451</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615864075</v>
      </c>
      <c r="I9" s="59">
        <f>I10+I17+I27+I38+I43</f>
        <v>659319802</v>
      </c>
    </row>
    <row r="10" spans="1:9" ht="12.75" customHeight="1" x14ac:dyDescent="0.2">
      <c r="A10" s="184" t="s">
        <v>6</v>
      </c>
      <c r="B10" s="185"/>
      <c r="C10" s="185"/>
      <c r="D10" s="185"/>
      <c r="E10" s="185"/>
      <c r="F10" s="186"/>
      <c r="G10" s="17">
        <v>3</v>
      </c>
      <c r="H10" s="59">
        <f>H11+H12+H13+H14+H15+H16</f>
        <v>126513274</v>
      </c>
      <c r="I10" s="59">
        <f>I11+I12+I13+I14+I15+I16</f>
        <v>139422349</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126513274</v>
      </c>
      <c r="I12" s="58">
        <v>139366849</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55500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456043159</v>
      </c>
      <c r="I17" s="59">
        <f>I18+I19+I20+I21+I22+I23+I24+I25+I26</f>
        <v>495955074</v>
      </c>
    </row>
    <row r="18" spans="1:9" ht="12.75" customHeight="1" x14ac:dyDescent="0.2">
      <c r="A18" s="189" t="s">
        <v>14</v>
      </c>
      <c r="B18" s="190"/>
      <c r="C18" s="190"/>
      <c r="D18" s="190"/>
      <c r="E18" s="190"/>
      <c r="F18" s="191"/>
      <c r="G18" s="16">
        <v>11</v>
      </c>
      <c r="H18" s="58">
        <v>19752892</v>
      </c>
      <c r="I18" s="58">
        <v>19752892</v>
      </c>
    </row>
    <row r="19" spans="1:9" ht="12.75" customHeight="1" x14ac:dyDescent="0.2">
      <c r="A19" s="189" t="s">
        <v>15</v>
      </c>
      <c r="B19" s="190"/>
      <c r="C19" s="190"/>
      <c r="D19" s="190"/>
      <c r="E19" s="190"/>
      <c r="F19" s="191"/>
      <c r="G19" s="16">
        <v>12</v>
      </c>
      <c r="H19" s="58">
        <f>25796143</f>
        <v>25796143</v>
      </c>
      <c r="I19" s="58">
        <v>24501326</v>
      </c>
    </row>
    <row r="20" spans="1:9" ht="12.75" customHeight="1" x14ac:dyDescent="0.2">
      <c r="A20" s="189" t="s">
        <v>16</v>
      </c>
      <c r="B20" s="190"/>
      <c r="C20" s="190"/>
      <c r="D20" s="190"/>
      <c r="E20" s="190"/>
      <c r="F20" s="191"/>
      <c r="G20" s="16">
        <v>13</v>
      </c>
      <c r="H20" s="58">
        <f>88160143-8722132</f>
        <v>79438011</v>
      </c>
      <c r="I20" s="58">
        <v>76384618</v>
      </c>
    </row>
    <row r="21" spans="1:9" ht="12.75" customHeight="1" x14ac:dyDescent="0.2">
      <c r="A21" s="189" t="s">
        <v>17</v>
      </c>
      <c r="B21" s="190"/>
      <c r="C21" s="190"/>
      <c r="D21" s="190"/>
      <c r="E21" s="190"/>
      <c r="F21" s="191"/>
      <c r="G21" s="16">
        <v>14</v>
      </c>
      <c r="H21" s="58">
        <v>267236556</v>
      </c>
      <c r="I21" s="58">
        <v>303216479</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49918684</v>
      </c>
      <c r="I23" s="58">
        <v>54752661</v>
      </c>
    </row>
    <row r="24" spans="1:9" ht="12.75" customHeight="1" x14ac:dyDescent="0.2">
      <c r="A24" s="189" t="s">
        <v>20</v>
      </c>
      <c r="B24" s="190"/>
      <c r="C24" s="190"/>
      <c r="D24" s="190"/>
      <c r="E24" s="190"/>
      <c r="F24" s="191"/>
      <c r="G24" s="16">
        <v>17</v>
      </c>
      <c r="H24" s="58">
        <v>11331420</v>
      </c>
      <c r="I24" s="58">
        <v>15055123</v>
      </c>
    </row>
    <row r="25" spans="1:9" ht="12.75" customHeight="1" x14ac:dyDescent="0.2">
      <c r="A25" s="189" t="s">
        <v>21</v>
      </c>
      <c r="B25" s="190"/>
      <c r="C25" s="190"/>
      <c r="D25" s="190"/>
      <c r="E25" s="190"/>
      <c r="F25" s="191"/>
      <c r="G25" s="16">
        <v>18</v>
      </c>
      <c r="H25" s="58">
        <v>1621575</v>
      </c>
      <c r="I25" s="58">
        <f>1976016-1</f>
        <v>1976015</v>
      </c>
    </row>
    <row r="26" spans="1:9" ht="12.75" customHeight="1" x14ac:dyDescent="0.2">
      <c r="A26" s="189" t="s">
        <v>22</v>
      </c>
      <c r="B26" s="190"/>
      <c r="C26" s="190"/>
      <c r="D26" s="190"/>
      <c r="E26" s="190"/>
      <c r="F26" s="191"/>
      <c r="G26" s="16">
        <v>19</v>
      </c>
      <c r="H26" s="58">
        <v>947878</v>
      </c>
      <c r="I26" s="58">
        <f>315959+1</f>
        <v>315960</v>
      </c>
    </row>
    <row r="27" spans="1:9" ht="12.75" customHeight="1" x14ac:dyDescent="0.2">
      <c r="A27" s="184" t="s">
        <v>23</v>
      </c>
      <c r="B27" s="185"/>
      <c r="C27" s="185"/>
      <c r="D27" s="185"/>
      <c r="E27" s="185"/>
      <c r="F27" s="186"/>
      <c r="G27" s="17">
        <v>20</v>
      </c>
      <c r="H27" s="59">
        <f>SUM(H28:H37)</f>
        <v>32894270</v>
      </c>
      <c r="I27" s="59">
        <f>SUM(I28:I37)</f>
        <v>23525735</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f>783288+189001</f>
        <v>972289</v>
      </c>
      <c r="I34" s="58">
        <f>696600+189001</f>
        <v>885601</v>
      </c>
    </row>
    <row r="35" spans="1:9" ht="12.75" customHeight="1" x14ac:dyDescent="0.2">
      <c r="A35" s="189" t="s">
        <v>31</v>
      </c>
      <c r="B35" s="190"/>
      <c r="C35" s="190"/>
      <c r="D35" s="190"/>
      <c r="E35" s="190"/>
      <c r="F35" s="191"/>
      <c r="G35" s="16">
        <v>28</v>
      </c>
      <c r="H35" s="58">
        <f>32160225-238244</f>
        <v>31921981</v>
      </c>
      <c r="I35" s="58">
        <f>22834154-194020</f>
        <v>22640134</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413372</v>
      </c>
      <c r="I38" s="59">
        <f>I39+I40+I41+I42</f>
        <v>416644</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f>175128+238244</f>
        <v>413372</v>
      </c>
      <c r="I42" s="58">
        <f>222624+194020</f>
        <v>416644</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192694909</v>
      </c>
      <c r="I44" s="59">
        <f>I45+I53+I60+I70</f>
        <v>191298466</v>
      </c>
    </row>
    <row r="45" spans="1:9" ht="12.75" customHeight="1" x14ac:dyDescent="0.2">
      <c r="A45" s="184" t="s">
        <v>41</v>
      </c>
      <c r="B45" s="185"/>
      <c r="C45" s="185"/>
      <c r="D45" s="185"/>
      <c r="E45" s="185"/>
      <c r="F45" s="186"/>
      <c r="G45" s="17">
        <v>38</v>
      </c>
      <c r="H45" s="59">
        <f>SUM(H46:H52)</f>
        <v>56878825</v>
      </c>
      <c r="I45" s="59">
        <f>SUM(I46:I52)</f>
        <v>59925338</v>
      </c>
    </row>
    <row r="46" spans="1:9" ht="12.75" customHeight="1" x14ac:dyDescent="0.2">
      <c r="A46" s="189" t="s">
        <v>42</v>
      </c>
      <c r="B46" s="190"/>
      <c r="C46" s="190"/>
      <c r="D46" s="190"/>
      <c r="E46" s="190"/>
      <c r="F46" s="191"/>
      <c r="G46" s="16">
        <v>39</v>
      </c>
      <c r="H46" s="58">
        <f>65760292-8881467</f>
        <v>56878825</v>
      </c>
      <c r="I46" s="58">
        <v>59925338</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0</v>
      </c>
      <c r="I49" s="58">
        <v>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92619092</v>
      </c>
      <c r="I53" s="59">
        <f>SUM(I54:I59)</f>
        <v>101638625</v>
      </c>
    </row>
    <row r="54" spans="1:9" ht="12.75" customHeight="1" x14ac:dyDescent="0.2">
      <c r="A54" s="189" t="s">
        <v>50</v>
      </c>
      <c r="B54" s="190"/>
      <c r="C54" s="190"/>
      <c r="D54" s="190"/>
      <c r="E54" s="190"/>
      <c r="F54" s="191"/>
      <c r="G54" s="16">
        <v>47</v>
      </c>
      <c r="H54" s="58">
        <v>0</v>
      </c>
      <c r="I54" s="58">
        <v>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79272052</v>
      </c>
      <c r="I56" s="58">
        <v>89086110</v>
      </c>
    </row>
    <row r="57" spans="1:9" ht="12.75" customHeight="1" x14ac:dyDescent="0.2">
      <c r="A57" s="189" t="s">
        <v>53</v>
      </c>
      <c r="B57" s="190"/>
      <c r="C57" s="190"/>
      <c r="D57" s="190"/>
      <c r="E57" s="190"/>
      <c r="F57" s="191"/>
      <c r="G57" s="16">
        <v>50</v>
      </c>
      <c r="H57" s="58">
        <v>50133</v>
      </c>
      <c r="I57" s="58">
        <v>51552</v>
      </c>
    </row>
    <row r="58" spans="1:9" ht="12.75" customHeight="1" x14ac:dyDescent="0.2">
      <c r="A58" s="189" t="s">
        <v>54</v>
      </c>
      <c r="B58" s="190"/>
      <c r="C58" s="190"/>
      <c r="D58" s="190"/>
      <c r="E58" s="190"/>
      <c r="F58" s="191"/>
      <c r="G58" s="16">
        <v>51</v>
      </c>
      <c r="H58" s="58">
        <v>9551722</v>
      </c>
      <c r="I58" s="58">
        <v>9290401</v>
      </c>
    </row>
    <row r="59" spans="1:9" ht="12.75" customHeight="1" x14ac:dyDescent="0.2">
      <c r="A59" s="189" t="s">
        <v>55</v>
      </c>
      <c r="B59" s="190"/>
      <c r="C59" s="190"/>
      <c r="D59" s="190"/>
      <c r="E59" s="190"/>
      <c r="F59" s="191"/>
      <c r="G59" s="16">
        <v>52</v>
      </c>
      <c r="H59" s="58">
        <v>3745185</v>
      </c>
      <c r="I59" s="58">
        <v>3210562</v>
      </c>
    </row>
    <row r="60" spans="1:9" ht="12.75" customHeight="1" x14ac:dyDescent="0.2">
      <c r="A60" s="184" t="s">
        <v>56</v>
      </c>
      <c r="B60" s="185"/>
      <c r="C60" s="185"/>
      <c r="D60" s="185"/>
      <c r="E60" s="185"/>
      <c r="F60" s="186"/>
      <c r="G60" s="17">
        <v>53</v>
      </c>
      <c r="H60" s="59">
        <f>SUM(H61:H69)</f>
        <v>2362406</v>
      </c>
      <c r="I60" s="59">
        <f>SUM(I61:I69)</f>
        <v>9096549</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188</v>
      </c>
      <c r="I67" s="58">
        <v>186</v>
      </c>
    </row>
    <row r="68" spans="1:9" ht="12.75" customHeight="1" x14ac:dyDescent="0.2">
      <c r="A68" s="189" t="s">
        <v>31</v>
      </c>
      <c r="B68" s="190"/>
      <c r="C68" s="190"/>
      <c r="D68" s="190"/>
      <c r="E68" s="190"/>
      <c r="F68" s="191"/>
      <c r="G68" s="16">
        <v>61</v>
      </c>
      <c r="H68" s="58">
        <v>2362218</v>
      </c>
      <c r="I68" s="58">
        <v>9094300</v>
      </c>
    </row>
    <row r="69" spans="1:9" ht="12.75" customHeight="1" x14ac:dyDescent="0.2">
      <c r="A69" s="189" t="s">
        <v>58</v>
      </c>
      <c r="B69" s="190"/>
      <c r="C69" s="190"/>
      <c r="D69" s="190"/>
      <c r="E69" s="190"/>
      <c r="F69" s="191"/>
      <c r="G69" s="16">
        <v>62</v>
      </c>
      <c r="H69" s="58">
        <v>0</v>
      </c>
      <c r="I69" s="58">
        <v>2063</v>
      </c>
    </row>
    <row r="70" spans="1:9" ht="12.75" customHeight="1" x14ac:dyDescent="0.2">
      <c r="A70" s="215" t="s">
        <v>59</v>
      </c>
      <c r="B70" s="216"/>
      <c r="C70" s="216"/>
      <c r="D70" s="216"/>
      <c r="E70" s="216"/>
      <c r="F70" s="217"/>
      <c r="G70" s="16">
        <v>63</v>
      </c>
      <c r="H70" s="58">
        <v>40834586</v>
      </c>
      <c r="I70" s="58">
        <v>20637954</v>
      </c>
    </row>
    <row r="71" spans="1:9" ht="12.75" customHeight="1" x14ac:dyDescent="0.2">
      <c r="A71" s="221" t="s">
        <v>60</v>
      </c>
      <c r="B71" s="222"/>
      <c r="C71" s="222"/>
      <c r="D71" s="222"/>
      <c r="E71" s="222"/>
      <c r="F71" s="223"/>
      <c r="G71" s="16">
        <v>64</v>
      </c>
      <c r="H71" s="58">
        <v>34021387</v>
      </c>
      <c r="I71" s="58">
        <f>18862682</f>
        <v>18862682</v>
      </c>
    </row>
    <row r="72" spans="1:9" ht="12.75" customHeight="1" x14ac:dyDescent="0.2">
      <c r="A72" s="192" t="s">
        <v>61</v>
      </c>
      <c r="B72" s="193"/>
      <c r="C72" s="193"/>
      <c r="D72" s="193"/>
      <c r="E72" s="193"/>
      <c r="F72" s="194"/>
      <c r="G72" s="17">
        <v>65</v>
      </c>
      <c r="H72" s="59">
        <f>H8+H9+H44+H71</f>
        <v>842580371</v>
      </c>
      <c r="I72" s="59">
        <f>I8+I9+I44+I71</f>
        <v>869480950</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389475347</v>
      </c>
      <c r="I75" s="59">
        <f>I76+I77+I78+I84+I85+I89+I92+I95</f>
        <v>308152030</v>
      </c>
    </row>
    <row r="76" spans="1:9" ht="12.75" customHeight="1" x14ac:dyDescent="0.2">
      <c r="A76" s="188" t="s">
        <v>65</v>
      </c>
      <c r="B76" s="188"/>
      <c r="C76" s="188"/>
      <c r="D76" s="188"/>
      <c r="E76" s="188"/>
      <c r="F76" s="188"/>
      <c r="G76" s="16">
        <v>68</v>
      </c>
      <c r="H76" s="44">
        <v>277879530</v>
      </c>
      <c r="I76" s="44">
        <v>277879530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104482823</v>
      </c>
      <c r="I78" s="59">
        <f>SUM(I79:I83)</f>
        <v>111843069</v>
      </c>
    </row>
    <row r="79" spans="1:9" ht="12.75" customHeight="1" x14ac:dyDescent="0.2">
      <c r="A79" s="183" t="s">
        <v>68</v>
      </c>
      <c r="B79" s="183"/>
      <c r="C79" s="183"/>
      <c r="D79" s="183"/>
      <c r="E79" s="183"/>
      <c r="F79" s="183"/>
      <c r="G79" s="16">
        <v>71</v>
      </c>
      <c r="H79" s="44">
        <v>14549784</v>
      </c>
      <c r="I79" s="44">
        <f>14559784-10000</f>
        <v>14549784</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-2940</v>
      </c>
      <c r="I81" s="44">
        <v>-2940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89935979</v>
      </c>
      <c r="I83" s="44">
        <f>114889824+10000-17603599</f>
        <v>97296225</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-1743171</v>
      </c>
      <c r="I85" s="59">
        <f>I86+I87+I88</f>
        <v>-1378876</v>
      </c>
    </row>
    <row r="86" spans="1:9" ht="12.75" customHeight="1" x14ac:dyDescent="0.2">
      <c r="A86" s="183" t="s">
        <v>75</v>
      </c>
      <c r="B86" s="183"/>
      <c r="C86" s="183"/>
      <c r="D86" s="183"/>
      <c r="E86" s="183"/>
      <c r="F86" s="183"/>
      <c r="G86" s="16">
        <v>78</v>
      </c>
      <c r="H86" s="58">
        <v>-919512</v>
      </c>
      <c r="I86" s="58">
        <v>-1006200</v>
      </c>
    </row>
    <row r="87" spans="1:9" ht="12.75" customHeight="1" x14ac:dyDescent="0.2">
      <c r="A87" s="183" t="s">
        <v>76</v>
      </c>
      <c r="B87" s="183"/>
      <c r="C87" s="183"/>
      <c r="D87" s="183"/>
      <c r="E87" s="183"/>
      <c r="F87" s="183"/>
      <c r="G87" s="16">
        <v>79</v>
      </c>
      <c r="H87" s="58">
        <v>-823659</v>
      </c>
      <c r="I87" s="58">
        <v>-372676</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1439931</v>
      </c>
      <c r="I89" s="59">
        <f>I90-I91</f>
        <v>1495919</v>
      </c>
    </row>
    <row r="90" spans="1:9" ht="12.75" customHeight="1" x14ac:dyDescent="0.2">
      <c r="A90" s="183" t="s">
        <v>79</v>
      </c>
      <c r="B90" s="183"/>
      <c r="C90" s="183"/>
      <c r="D90" s="183"/>
      <c r="E90" s="183"/>
      <c r="F90" s="183"/>
      <c r="G90" s="16">
        <v>82</v>
      </c>
      <c r="H90" s="44">
        <v>1439931</v>
      </c>
      <c r="I90" s="44">
        <v>1495919</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7416234</v>
      </c>
      <c r="I92" s="59">
        <f>I93-I94</f>
        <v>-81687612</v>
      </c>
    </row>
    <row r="93" spans="1:9" ht="12.75" customHeight="1" x14ac:dyDescent="0.2">
      <c r="A93" s="183" t="s">
        <v>82</v>
      </c>
      <c r="B93" s="183"/>
      <c r="C93" s="183"/>
      <c r="D93" s="183"/>
      <c r="E93" s="183"/>
      <c r="F93" s="183"/>
      <c r="G93" s="16">
        <v>85</v>
      </c>
      <c r="H93" s="44">
        <f>25019833-17603599</f>
        <v>7416234</v>
      </c>
      <c r="I93" s="44">
        <v>0</v>
      </c>
    </row>
    <row r="94" spans="1:9" ht="12.75" customHeight="1" x14ac:dyDescent="0.2">
      <c r="A94" s="183" t="s">
        <v>83</v>
      </c>
      <c r="B94" s="183"/>
      <c r="C94" s="183"/>
      <c r="D94" s="183"/>
      <c r="E94" s="183"/>
      <c r="F94" s="183"/>
      <c r="G94" s="16">
        <v>86</v>
      </c>
      <c r="H94" s="44">
        <v>0</v>
      </c>
      <c r="I94" s="44">
        <v>81687612</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35274050</v>
      </c>
      <c r="I96" s="59">
        <f>SUM(I97:I102)</f>
        <v>33278957</v>
      </c>
    </row>
    <row r="97" spans="1:9" ht="12.75" customHeight="1" x14ac:dyDescent="0.2">
      <c r="A97" s="183" t="s">
        <v>86</v>
      </c>
      <c r="B97" s="183"/>
      <c r="C97" s="183"/>
      <c r="D97" s="183"/>
      <c r="E97" s="183"/>
      <c r="F97" s="183"/>
      <c r="G97" s="16">
        <v>89</v>
      </c>
      <c r="H97" s="44">
        <v>1259245</v>
      </c>
      <c r="I97" s="44">
        <v>1284589</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3068489</v>
      </c>
      <c r="I99" s="44">
        <v>2977740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30946316</v>
      </c>
      <c r="I102" s="58">
        <v>29016628</v>
      </c>
    </row>
    <row r="103" spans="1:9" ht="12.75" customHeight="1" x14ac:dyDescent="0.2">
      <c r="A103" s="187" t="s">
        <v>92</v>
      </c>
      <c r="B103" s="187"/>
      <c r="C103" s="187"/>
      <c r="D103" s="187"/>
      <c r="E103" s="187"/>
      <c r="F103" s="187"/>
      <c r="G103" s="17">
        <v>95</v>
      </c>
      <c r="H103" s="59">
        <f>SUM(H104:H114)</f>
        <v>16575026</v>
      </c>
      <c r="I103" s="59">
        <f>SUM(I104:I114)</f>
        <v>56680400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45000</v>
      </c>
      <c r="I108" s="44">
        <v>786757</v>
      </c>
    </row>
    <row r="109" spans="1:9" ht="12.75" customHeight="1" x14ac:dyDescent="0.2">
      <c r="A109" s="183" t="s">
        <v>98</v>
      </c>
      <c r="B109" s="183"/>
      <c r="C109" s="183"/>
      <c r="D109" s="183"/>
      <c r="E109" s="183"/>
      <c r="F109" s="183"/>
      <c r="G109" s="16">
        <v>101</v>
      </c>
      <c r="H109" s="44">
        <v>16530026</v>
      </c>
      <c r="I109" s="44">
        <v>55260934</v>
      </c>
    </row>
    <row r="110" spans="1:9" ht="12.75" customHeight="1" x14ac:dyDescent="0.2">
      <c r="A110" s="183" t="s">
        <v>99</v>
      </c>
      <c r="B110" s="183"/>
      <c r="C110" s="183"/>
      <c r="D110" s="183"/>
      <c r="E110" s="183"/>
      <c r="F110" s="183"/>
      <c r="G110" s="16">
        <v>102</v>
      </c>
      <c r="H110" s="44">
        <v>0</v>
      </c>
      <c r="I110" s="44">
        <v>632709</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381030270</v>
      </c>
      <c r="I115" s="59">
        <f>SUM(I116:I129)</f>
        <v>436306255</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11048292</v>
      </c>
      <c r="I120" s="44">
        <v>8777000</v>
      </c>
    </row>
    <row r="121" spans="1:9" ht="12.75" customHeight="1" x14ac:dyDescent="0.2">
      <c r="A121" s="183" t="s">
        <v>98</v>
      </c>
      <c r="B121" s="183"/>
      <c r="C121" s="183"/>
      <c r="D121" s="183"/>
      <c r="E121" s="183"/>
      <c r="F121" s="183"/>
      <c r="G121" s="16">
        <v>113</v>
      </c>
      <c r="H121" s="44">
        <v>69070970</v>
      </c>
      <c r="I121" s="44">
        <v>85321935</v>
      </c>
    </row>
    <row r="122" spans="1:9" ht="12.75" customHeight="1" x14ac:dyDescent="0.2">
      <c r="A122" s="183" t="s">
        <v>99</v>
      </c>
      <c r="B122" s="183"/>
      <c r="C122" s="183"/>
      <c r="D122" s="183"/>
      <c r="E122" s="183"/>
      <c r="F122" s="183"/>
      <c r="G122" s="16">
        <v>114</v>
      </c>
      <c r="H122" s="44">
        <v>1730463</v>
      </c>
      <c r="I122" s="44">
        <v>1374445</v>
      </c>
    </row>
    <row r="123" spans="1:9" ht="12.75" customHeight="1" x14ac:dyDescent="0.2">
      <c r="A123" s="183" t="s">
        <v>100</v>
      </c>
      <c r="B123" s="183"/>
      <c r="C123" s="183"/>
      <c r="D123" s="183"/>
      <c r="E123" s="183"/>
      <c r="F123" s="183"/>
      <c r="G123" s="16">
        <v>115</v>
      </c>
      <c r="H123" s="44">
        <v>149579080</v>
      </c>
      <c r="I123" s="44">
        <v>196164280</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9755821</v>
      </c>
      <c r="I125" s="44">
        <v>10738844</v>
      </c>
    </row>
    <row r="126" spans="1:9" x14ac:dyDescent="0.2">
      <c r="A126" s="183" t="s">
        <v>106</v>
      </c>
      <c r="B126" s="183"/>
      <c r="C126" s="183"/>
      <c r="D126" s="183"/>
      <c r="E126" s="183"/>
      <c r="F126" s="183"/>
      <c r="G126" s="16">
        <v>118</v>
      </c>
      <c r="H126" s="44">
        <v>8805555</v>
      </c>
      <c r="I126" s="44">
        <v>9352095</v>
      </c>
    </row>
    <row r="127" spans="1:9" x14ac:dyDescent="0.2">
      <c r="A127" s="183" t="s">
        <v>107</v>
      </c>
      <c r="B127" s="183"/>
      <c r="C127" s="183"/>
      <c r="D127" s="183"/>
      <c r="E127" s="183"/>
      <c r="F127" s="183"/>
      <c r="G127" s="16">
        <v>119</v>
      </c>
      <c r="H127" s="44">
        <v>566</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131039523</v>
      </c>
      <c r="I129" s="58">
        <v>124577656</v>
      </c>
    </row>
    <row r="130" spans="1:9" ht="22.15" customHeight="1" x14ac:dyDescent="0.2">
      <c r="A130" s="219" t="s">
        <v>110</v>
      </c>
      <c r="B130" s="219"/>
      <c r="C130" s="219"/>
      <c r="D130" s="219"/>
      <c r="E130" s="219"/>
      <c r="F130" s="219"/>
      <c r="G130" s="16">
        <v>122</v>
      </c>
      <c r="H130" s="58">
        <f>20225679-1</f>
        <v>20225678</v>
      </c>
      <c r="I130" s="58">
        <v>35063308</v>
      </c>
    </row>
    <row r="131" spans="1:9" x14ac:dyDescent="0.2">
      <c r="A131" s="187" t="s">
        <v>111</v>
      </c>
      <c r="B131" s="187"/>
      <c r="C131" s="187"/>
      <c r="D131" s="187"/>
      <c r="E131" s="187"/>
      <c r="F131" s="187"/>
      <c r="G131" s="17">
        <v>123</v>
      </c>
      <c r="H131" s="59">
        <f>H75+H96+H103+H115+H130</f>
        <v>842580371</v>
      </c>
      <c r="I131" s="59">
        <f>I75+I96+I103+I115+I130</f>
        <v>869480950</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9" zoomScaleNormal="100" zoomScaleSheetLayoutView="110" workbookViewId="0">
      <selection activeCell="F108" sqref="F10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431</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453</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1778416058</v>
      </c>
      <c r="I7" s="63">
        <f>SUM(I8:I12)</f>
        <v>1714891455</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1508797381</v>
      </c>
      <c r="I9" s="58">
        <v>1582124059</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269618677</v>
      </c>
      <c r="I12" s="58">
        <v>132767396</v>
      </c>
    </row>
    <row r="13" spans="1:9" x14ac:dyDescent="0.2">
      <c r="A13" s="187" t="s">
        <v>134</v>
      </c>
      <c r="B13" s="187"/>
      <c r="C13" s="187"/>
      <c r="D13" s="187"/>
      <c r="E13" s="187"/>
      <c r="F13" s="187"/>
      <c r="G13" s="17">
        <v>131</v>
      </c>
      <c r="H13" s="59">
        <f>H14+H15+H19+H23+H24+H25+H28+H35</f>
        <v>1756008475</v>
      </c>
      <c r="I13" s="59">
        <f>I14+I15+I19+I23+I24+I25+I28+I35</f>
        <v>1789653982</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1256973200</v>
      </c>
      <c r="I15" s="59">
        <f>SUM(I16:I18)</f>
        <v>1315304571</v>
      </c>
    </row>
    <row r="16" spans="1:9" x14ac:dyDescent="0.2">
      <c r="A16" s="234" t="s">
        <v>136</v>
      </c>
      <c r="B16" s="234"/>
      <c r="C16" s="234"/>
      <c r="D16" s="234"/>
      <c r="E16" s="234"/>
      <c r="F16" s="234"/>
      <c r="G16" s="16">
        <v>134</v>
      </c>
      <c r="H16" s="58">
        <f>299089820+8881467</f>
        <v>307971287</v>
      </c>
      <c r="I16" s="58">
        <v>374406082</v>
      </c>
    </row>
    <row r="17" spans="1:9" x14ac:dyDescent="0.2">
      <c r="A17" s="234" t="s">
        <v>137</v>
      </c>
      <c r="B17" s="234"/>
      <c r="C17" s="234"/>
      <c r="D17" s="234"/>
      <c r="E17" s="234"/>
      <c r="F17" s="234"/>
      <c r="G17" s="16">
        <v>135</v>
      </c>
      <c r="H17" s="58">
        <v>0</v>
      </c>
      <c r="I17" s="58">
        <v>0</v>
      </c>
    </row>
    <row r="18" spans="1:9" x14ac:dyDescent="0.2">
      <c r="A18" s="234" t="s">
        <v>138</v>
      </c>
      <c r="B18" s="234"/>
      <c r="C18" s="234"/>
      <c r="D18" s="234"/>
      <c r="E18" s="234"/>
      <c r="F18" s="234"/>
      <c r="G18" s="16">
        <v>136</v>
      </c>
      <c r="H18" s="58">
        <f>942949295+6052618</f>
        <v>949001913</v>
      </c>
      <c r="I18" s="58">
        <v>940898489</v>
      </c>
    </row>
    <row r="19" spans="1:9" x14ac:dyDescent="0.2">
      <c r="A19" s="243" t="s">
        <v>139</v>
      </c>
      <c r="B19" s="243"/>
      <c r="C19" s="243"/>
      <c r="D19" s="243"/>
      <c r="E19" s="243"/>
      <c r="F19" s="243"/>
      <c r="G19" s="17">
        <v>137</v>
      </c>
      <c r="H19" s="59">
        <f>SUM(H20:H22)</f>
        <v>220946352</v>
      </c>
      <c r="I19" s="59">
        <f>SUM(I20:I22)</f>
        <v>233510999</v>
      </c>
    </row>
    <row r="20" spans="1:9" x14ac:dyDescent="0.2">
      <c r="A20" s="234" t="s">
        <v>117</v>
      </c>
      <c r="B20" s="234"/>
      <c r="C20" s="234"/>
      <c r="D20" s="234"/>
      <c r="E20" s="234"/>
      <c r="F20" s="234"/>
      <c r="G20" s="16">
        <v>138</v>
      </c>
      <c r="H20" s="58">
        <v>119768336</v>
      </c>
      <c r="I20" s="58">
        <v>126188386</v>
      </c>
    </row>
    <row r="21" spans="1:9" x14ac:dyDescent="0.2">
      <c r="A21" s="234" t="s">
        <v>118</v>
      </c>
      <c r="B21" s="234"/>
      <c r="C21" s="234"/>
      <c r="D21" s="234"/>
      <c r="E21" s="234"/>
      <c r="F21" s="234"/>
      <c r="G21" s="16">
        <v>139</v>
      </c>
      <c r="H21" s="58">
        <v>60442670</v>
      </c>
      <c r="I21" s="58">
        <v>64357498</v>
      </c>
    </row>
    <row r="22" spans="1:9" x14ac:dyDescent="0.2">
      <c r="A22" s="234" t="s">
        <v>119</v>
      </c>
      <c r="B22" s="234"/>
      <c r="C22" s="234"/>
      <c r="D22" s="234"/>
      <c r="E22" s="234"/>
      <c r="F22" s="234"/>
      <c r="G22" s="16">
        <v>140</v>
      </c>
      <c r="H22" s="58">
        <v>40735346</v>
      </c>
      <c r="I22" s="58">
        <v>42965115</v>
      </c>
    </row>
    <row r="23" spans="1:9" x14ac:dyDescent="0.2">
      <c r="A23" s="183" t="s">
        <v>120</v>
      </c>
      <c r="B23" s="183"/>
      <c r="C23" s="183"/>
      <c r="D23" s="183"/>
      <c r="E23" s="183"/>
      <c r="F23" s="183"/>
      <c r="G23" s="16">
        <v>141</v>
      </c>
      <c r="H23" s="58">
        <v>94491727</v>
      </c>
      <c r="I23" s="58">
        <v>100932551</v>
      </c>
    </row>
    <row r="24" spans="1:9" x14ac:dyDescent="0.2">
      <c r="A24" s="183" t="s">
        <v>121</v>
      </c>
      <c r="B24" s="183"/>
      <c r="C24" s="183"/>
      <c r="D24" s="183"/>
      <c r="E24" s="183"/>
      <c r="F24" s="183"/>
      <c r="G24" s="16">
        <v>142</v>
      </c>
      <c r="H24" s="58">
        <f>99372699-6052618</f>
        <v>93320081</v>
      </c>
      <c r="I24" s="58">
        <v>121579686</v>
      </c>
    </row>
    <row r="25" spans="1:9" x14ac:dyDescent="0.2">
      <c r="A25" s="243" t="s">
        <v>140</v>
      </c>
      <c r="B25" s="243"/>
      <c r="C25" s="243"/>
      <c r="D25" s="243"/>
      <c r="E25" s="243"/>
      <c r="F25" s="243"/>
      <c r="G25" s="17">
        <v>143</v>
      </c>
      <c r="H25" s="59">
        <f>H26+H27</f>
        <v>57853614</v>
      </c>
      <c r="I25" s="59">
        <f>I26+I27</f>
        <v>3701424</v>
      </c>
    </row>
    <row r="26" spans="1:9" x14ac:dyDescent="0.2">
      <c r="A26" s="234" t="s">
        <v>141</v>
      </c>
      <c r="B26" s="234"/>
      <c r="C26" s="234"/>
      <c r="D26" s="234"/>
      <c r="E26" s="234"/>
      <c r="F26" s="234"/>
      <c r="G26" s="16">
        <v>144</v>
      </c>
      <c r="H26" s="58">
        <v>56923315</v>
      </c>
      <c r="I26" s="58">
        <v>0</v>
      </c>
    </row>
    <row r="27" spans="1:9" x14ac:dyDescent="0.2">
      <c r="A27" s="234" t="s">
        <v>142</v>
      </c>
      <c r="B27" s="234"/>
      <c r="C27" s="234"/>
      <c r="D27" s="234"/>
      <c r="E27" s="234"/>
      <c r="F27" s="234"/>
      <c r="G27" s="16">
        <v>145</v>
      </c>
      <c r="H27" s="58">
        <v>930299</v>
      </c>
      <c r="I27" s="58">
        <v>3701424</v>
      </c>
    </row>
    <row r="28" spans="1:9" x14ac:dyDescent="0.2">
      <c r="A28" s="243" t="s">
        <v>143</v>
      </c>
      <c r="B28" s="243"/>
      <c r="C28" s="243"/>
      <c r="D28" s="243"/>
      <c r="E28" s="243"/>
      <c r="F28" s="243"/>
      <c r="G28" s="17">
        <v>146</v>
      </c>
      <c r="H28" s="59">
        <f>SUM(H29:H34)</f>
        <v>14596528</v>
      </c>
      <c r="I28" s="59">
        <f>SUM(I29:I34)</f>
        <v>1475763</v>
      </c>
    </row>
    <row r="29" spans="1:9" x14ac:dyDescent="0.2">
      <c r="A29" s="234" t="s">
        <v>144</v>
      </c>
      <c r="B29" s="234"/>
      <c r="C29" s="234"/>
      <c r="D29" s="234"/>
      <c r="E29" s="234"/>
      <c r="F29" s="234"/>
      <c r="G29" s="16">
        <v>147</v>
      </c>
      <c r="H29" s="58">
        <v>256931</v>
      </c>
      <c r="I29" s="58">
        <v>25344</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1083285</v>
      </c>
      <c r="I31" s="58">
        <v>139132</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13256312</v>
      </c>
      <c r="I34" s="58">
        <v>1311287</v>
      </c>
    </row>
    <row r="35" spans="1:9" x14ac:dyDescent="0.2">
      <c r="A35" s="183" t="s">
        <v>122</v>
      </c>
      <c r="B35" s="183"/>
      <c r="C35" s="183"/>
      <c r="D35" s="183"/>
      <c r="E35" s="183"/>
      <c r="F35" s="183"/>
      <c r="G35" s="16">
        <v>153</v>
      </c>
      <c r="H35" s="58">
        <f>9104841+8722132</f>
        <v>17826973</v>
      </c>
      <c r="I35" s="58">
        <v>13148988</v>
      </c>
    </row>
    <row r="36" spans="1:9" x14ac:dyDescent="0.2">
      <c r="A36" s="187" t="s">
        <v>150</v>
      </c>
      <c r="B36" s="187"/>
      <c r="C36" s="187"/>
      <c r="D36" s="187"/>
      <c r="E36" s="187"/>
      <c r="F36" s="187"/>
      <c r="G36" s="17">
        <v>154</v>
      </c>
      <c r="H36" s="59">
        <f>SUM(H37:H46)</f>
        <v>66402447</v>
      </c>
      <c r="I36" s="59">
        <f>SUM(I37:I46)</f>
        <v>56190719</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272028</v>
      </c>
      <c r="I43" s="58">
        <v>113441</v>
      </c>
    </row>
    <row r="44" spans="1:9" x14ac:dyDescent="0.2">
      <c r="A44" s="183" t="s">
        <v>158</v>
      </c>
      <c r="B44" s="183"/>
      <c r="C44" s="183"/>
      <c r="D44" s="183"/>
      <c r="E44" s="183"/>
      <c r="F44" s="183"/>
      <c r="G44" s="16">
        <v>162</v>
      </c>
      <c r="H44" s="58">
        <v>66103909</v>
      </c>
      <c r="I44" s="58">
        <v>56045628</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26510</v>
      </c>
      <c r="I46" s="58">
        <v>31650</v>
      </c>
    </row>
    <row r="47" spans="1:9" x14ac:dyDescent="0.2">
      <c r="A47" s="187" t="s">
        <v>161</v>
      </c>
      <c r="B47" s="187"/>
      <c r="C47" s="187"/>
      <c r="D47" s="187"/>
      <c r="E47" s="187"/>
      <c r="F47" s="187"/>
      <c r="G47" s="17">
        <v>165</v>
      </c>
      <c r="H47" s="59">
        <f>SUM(H48:H54)</f>
        <v>81346456</v>
      </c>
      <c r="I47" s="59">
        <f>SUM(I48:I54)</f>
        <v>62792233</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5178637</v>
      </c>
      <c r="I50" s="58">
        <v>4407204</v>
      </c>
    </row>
    <row r="51" spans="1:9" x14ac:dyDescent="0.2">
      <c r="A51" s="236" t="s">
        <v>165</v>
      </c>
      <c r="B51" s="236"/>
      <c r="C51" s="236"/>
      <c r="D51" s="236"/>
      <c r="E51" s="236"/>
      <c r="F51" s="236"/>
      <c r="G51" s="16">
        <v>169</v>
      </c>
      <c r="H51" s="58">
        <v>75953486</v>
      </c>
      <c r="I51" s="58">
        <v>57930379</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214333</v>
      </c>
      <c r="I54" s="58">
        <v>454650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1844818505</v>
      </c>
      <c r="I59" s="59">
        <f>I7+I36+I55+I56</f>
        <v>1771082174</v>
      </c>
    </row>
    <row r="60" spans="1:9" x14ac:dyDescent="0.2">
      <c r="A60" s="187" t="s">
        <v>174</v>
      </c>
      <c r="B60" s="187"/>
      <c r="C60" s="187"/>
      <c r="D60" s="187"/>
      <c r="E60" s="187"/>
      <c r="F60" s="187"/>
      <c r="G60" s="17">
        <v>178</v>
      </c>
      <c r="H60" s="59">
        <f>H13+H47+H57+H58</f>
        <v>1837354931</v>
      </c>
      <c r="I60" s="59">
        <f>I13+I47+I57+I58</f>
        <v>1852446215</v>
      </c>
    </row>
    <row r="61" spans="1:9" x14ac:dyDescent="0.2">
      <c r="A61" s="187" t="s">
        <v>175</v>
      </c>
      <c r="B61" s="187"/>
      <c r="C61" s="187"/>
      <c r="D61" s="187"/>
      <c r="E61" s="187"/>
      <c r="F61" s="187"/>
      <c r="G61" s="17">
        <v>179</v>
      </c>
      <c r="H61" s="59">
        <f>H59-H60</f>
        <v>7463574</v>
      </c>
      <c r="I61" s="59">
        <f>I59-I60</f>
        <v>-81364041</v>
      </c>
    </row>
    <row r="62" spans="1:9" x14ac:dyDescent="0.2">
      <c r="A62" s="235" t="s">
        <v>176</v>
      </c>
      <c r="B62" s="235"/>
      <c r="C62" s="235"/>
      <c r="D62" s="235"/>
      <c r="E62" s="235"/>
      <c r="F62" s="235"/>
      <c r="G62" s="17">
        <v>180</v>
      </c>
      <c r="H62" s="59">
        <f>+IF((H59-H60)&gt;0,(H59-H60),0)</f>
        <v>7463574</v>
      </c>
      <c r="I62" s="59">
        <f>+IF((I59-I60)&gt;0,(I59-I60),0)</f>
        <v>0</v>
      </c>
    </row>
    <row r="63" spans="1:9" x14ac:dyDescent="0.2">
      <c r="A63" s="235" t="s">
        <v>177</v>
      </c>
      <c r="B63" s="235"/>
      <c r="C63" s="235"/>
      <c r="D63" s="235"/>
      <c r="E63" s="235"/>
      <c r="F63" s="235"/>
      <c r="G63" s="17">
        <v>181</v>
      </c>
      <c r="H63" s="59">
        <f>+IF((H59-H60)&lt;0,(H59-H60),0)</f>
        <v>0</v>
      </c>
      <c r="I63" s="59">
        <f>+IF((I59-I60)&lt;0,(I59-I60),0)</f>
        <v>-81364041</v>
      </c>
    </row>
    <row r="64" spans="1:9" x14ac:dyDescent="0.2">
      <c r="A64" s="219" t="s">
        <v>123</v>
      </c>
      <c r="B64" s="219"/>
      <c r="C64" s="219"/>
      <c r="D64" s="219"/>
      <c r="E64" s="219"/>
      <c r="F64" s="219"/>
      <c r="G64" s="16">
        <v>182</v>
      </c>
      <c r="H64" s="58">
        <v>47340</v>
      </c>
      <c r="I64" s="58">
        <v>323571</v>
      </c>
    </row>
    <row r="65" spans="1:9" x14ac:dyDescent="0.2">
      <c r="A65" s="187" t="s">
        <v>178</v>
      </c>
      <c r="B65" s="187"/>
      <c r="C65" s="187"/>
      <c r="D65" s="187"/>
      <c r="E65" s="187"/>
      <c r="F65" s="187"/>
      <c r="G65" s="17">
        <v>183</v>
      </c>
      <c r="H65" s="59">
        <f>H61-H64</f>
        <v>7416234</v>
      </c>
      <c r="I65" s="59">
        <f>I61-I64</f>
        <v>-81687612</v>
      </c>
    </row>
    <row r="66" spans="1:9" x14ac:dyDescent="0.2">
      <c r="A66" s="235" t="s">
        <v>179</v>
      </c>
      <c r="B66" s="235"/>
      <c r="C66" s="235"/>
      <c r="D66" s="235"/>
      <c r="E66" s="235"/>
      <c r="F66" s="235"/>
      <c r="G66" s="17">
        <v>184</v>
      </c>
      <c r="H66" s="59">
        <f>+IF((H61-H64)&gt;0,(H61-H64),0)</f>
        <v>7416234</v>
      </c>
      <c r="I66" s="59">
        <f>+IF((I61-I64)&gt;0,(I61-I64),0)</f>
        <v>0</v>
      </c>
    </row>
    <row r="67" spans="1:9" x14ac:dyDescent="0.2">
      <c r="A67" s="241" t="s">
        <v>180</v>
      </c>
      <c r="B67" s="241"/>
      <c r="C67" s="241"/>
      <c r="D67" s="241"/>
      <c r="E67" s="241"/>
      <c r="F67" s="241"/>
      <c r="G67" s="18">
        <v>185</v>
      </c>
      <c r="H67" s="64">
        <f>+IF((H61-H64)&lt;0,(H61-H64),0)</f>
        <v>0</v>
      </c>
      <c r="I67" s="64">
        <f>+IF((I61-I64)&lt;0,(I61-I64),0)</f>
        <v>-81687612</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6">
        <v>0</v>
      </c>
      <c r="I73" s="116">
        <v>0</v>
      </c>
    </row>
    <row r="74" spans="1:9" x14ac:dyDescent="0.2">
      <c r="A74" s="241" t="s">
        <v>187</v>
      </c>
      <c r="B74" s="241"/>
      <c r="C74" s="241"/>
      <c r="D74" s="241"/>
      <c r="E74" s="241"/>
      <c r="F74" s="241"/>
      <c r="G74" s="18">
        <v>191</v>
      </c>
      <c r="H74" s="117">
        <v>0</v>
      </c>
      <c r="I74" s="117">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6">
        <v>0</v>
      </c>
      <c r="I76" s="116">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6">
        <v>0</v>
      </c>
      <c r="I79" s="116">
        <v>0</v>
      </c>
    </row>
    <row r="80" spans="1:9" x14ac:dyDescent="0.2">
      <c r="A80" s="187" t="s">
        <v>193</v>
      </c>
      <c r="B80" s="187"/>
      <c r="C80" s="187"/>
      <c r="D80" s="187"/>
      <c r="E80" s="187"/>
      <c r="F80" s="187"/>
      <c r="G80" s="17">
        <v>196</v>
      </c>
      <c r="H80" s="116">
        <v>0</v>
      </c>
      <c r="I80" s="116">
        <v>0</v>
      </c>
    </row>
    <row r="81" spans="1:9" x14ac:dyDescent="0.2">
      <c r="A81" s="235" t="s">
        <v>194</v>
      </c>
      <c r="B81" s="235"/>
      <c r="C81" s="235"/>
      <c r="D81" s="235"/>
      <c r="E81" s="235"/>
      <c r="F81" s="235"/>
      <c r="G81" s="17">
        <v>197</v>
      </c>
      <c r="H81" s="116">
        <v>0</v>
      </c>
      <c r="I81" s="116">
        <v>0</v>
      </c>
    </row>
    <row r="82" spans="1:9" x14ac:dyDescent="0.2">
      <c r="A82" s="241" t="s">
        <v>195</v>
      </c>
      <c r="B82" s="241"/>
      <c r="C82" s="241"/>
      <c r="D82" s="241"/>
      <c r="E82" s="241"/>
      <c r="F82" s="241"/>
      <c r="G82" s="18">
        <v>198</v>
      </c>
      <c r="H82" s="117">
        <v>0</v>
      </c>
      <c r="I82" s="117">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7416234</v>
      </c>
      <c r="I84" s="53">
        <f>I85+I86</f>
        <v>-81687612</v>
      </c>
    </row>
    <row r="85" spans="1:9" x14ac:dyDescent="0.2">
      <c r="A85" s="239" t="s">
        <v>197</v>
      </c>
      <c r="B85" s="239"/>
      <c r="C85" s="239"/>
      <c r="D85" s="239"/>
      <c r="E85" s="239"/>
      <c r="F85" s="239"/>
      <c r="G85" s="16">
        <v>200</v>
      </c>
      <c r="H85" s="52">
        <f>H65</f>
        <v>7416234</v>
      </c>
      <c r="I85" s="52">
        <f>I65</f>
        <v>-81687612</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f>H65</f>
        <v>7416234</v>
      </c>
      <c r="I88" s="52">
        <f>I67</f>
        <v>-81687612</v>
      </c>
    </row>
    <row r="89" spans="1:9" ht="24.6" customHeight="1" x14ac:dyDescent="0.2">
      <c r="A89" s="246" t="s">
        <v>200</v>
      </c>
      <c r="B89" s="246"/>
      <c r="C89" s="246"/>
      <c r="D89" s="246"/>
      <c r="E89" s="246"/>
      <c r="F89" s="246"/>
      <c r="G89" s="17">
        <v>203</v>
      </c>
      <c r="H89" s="53">
        <f>SUM(H90:H97)</f>
        <v>289478</v>
      </c>
      <c r="I89" s="53">
        <f>SUM(I90:I97)</f>
        <v>364295</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-379260</v>
      </c>
      <c r="I92" s="52">
        <v>-86688</v>
      </c>
    </row>
    <row r="93" spans="1:9" x14ac:dyDescent="0.2">
      <c r="A93" s="236" t="s">
        <v>204</v>
      </c>
      <c r="B93" s="236"/>
      <c r="C93" s="236"/>
      <c r="D93" s="236"/>
      <c r="E93" s="236"/>
      <c r="F93" s="236"/>
      <c r="G93" s="16">
        <v>207</v>
      </c>
      <c r="H93" s="52">
        <v>668738</v>
      </c>
      <c r="I93" s="52">
        <v>450983</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289478</v>
      </c>
      <c r="I99" s="53">
        <f>I89-I98</f>
        <v>364295</v>
      </c>
    </row>
    <row r="100" spans="1:9" x14ac:dyDescent="0.2">
      <c r="A100" s="247" t="s">
        <v>210</v>
      </c>
      <c r="B100" s="247"/>
      <c r="C100" s="247"/>
      <c r="D100" s="247"/>
      <c r="E100" s="247"/>
      <c r="F100" s="247"/>
      <c r="G100" s="18">
        <v>214</v>
      </c>
      <c r="H100" s="54">
        <f>H88+H99</f>
        <v>7705712</v>
      </c>
      <c r="I100" s="54">
        <f>I88+I99</f>
        <v>-81323317</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7705712</v>
      </c>
      <c r="I102" s="53">
        <f>I103+I104</f>
        <v>-81323317</v>
      </c>
    </row>
    <row r="103" spans="1:9" x14ac:dyDescent="0.2">
      <c r="A103" s="239" t="s">
        <v>125</v>
      </c>
      <c r="B103" s="239"/>
      <c r="C103" s="239"/>
      <c r="D103" s="239"/>
      <c r="E103" s="239"/>
      <c r="F103" s="239"/>
      <c r="G103" s="16">
        <v>216</v>
      </c>
      <c r="H103" s="52">
        <f>H100</f>
        <v>7705712</v>
      </c>
      <c r="I103" s="52">
        <f>I100</f>
        <v>-81323317</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I54" sqref="I54"/>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440</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452</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f>25067173-17603599</f>
        <v>7463574</v>
      </c>
      <c r="I8" s="47">
        <v>-81364041</v>
      </c>
    </row>
    <row r="9" spans="1:9" ht="12.75" customHeight="1" x14ac:dyDescent="0.2">
      <c r="A9" s="265" t="s">
        <v>219</v>
      </c>
      <c r="B9" s="266"/>
      <c r="C9" s="266"/>
      <c r="D9" s="266"/>
      <c r="E9" s="266"/>
      <c r="F9" s="267"/>
      <c r="G9" s="17">
        <v>2</v>
      </c>
      <c r="H9" s="48">
        <f>H10+H11+H12+H13+H14+H15+H16+H17</f>
        <v>195696617</v>
      </c>
      <c r="I9" s="48">
        <f>I10+I11+I12+I13+I14+I15+I16+I17</f>
        <v>73523448</v>
      </c>
    </row>
    <row r="10" spans="1:9" ht="12.75" customHeight="1" x14ac:dyDescent="0.2">
      <c r="A10" s="257" t="s">
        <v>220</v>
      </c>
      <c r="B10" s="258"/>
      <c r="C10" s="258"/>
      <c r="D10" s="258"/>
      <c r="E10" s="258"/>
      <c r="F10" s="259"/>
      <c r="G10" s="22">
        <v>3</v>
      </c>
      <c r="H10" s="49">
        <v>94491727</v>
      </c>
      <c r="I10" s="49">
        <v>100932551</v>
      </c>
    </row>
    <row r="11" spans="1:9" ht="31.15" customHeight="1" x14ac:dyDescent="0.2">
      <c r="A11" s="257" t="s">
        <v>385</v>
      </c>
      <c r="B11" s="258"/>
      <c r="C11" s="258"/>
      <c r="D11" s="258"/>
      <c r="E11" s="258"/>
      <c r="F11" s="259"/>
      <c r="G11" s="22">
        <v>4</v>
      </c>
      <c r="H11" s="49">
        <v>-279245</v>
      </c>
      <c r="I11" s="49">
        <v>-181950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-298537</v>
      </c>
      <c r="I13" s="49">
        <v>-145092</v>
      </c>
    </row>
    <row r="14" spans="1:9" ht="12.75" customHeight="1" x14ac:dyDescent="0.2">
      <c r="A14" s="257" t="s">
        <v>222</v>
      </c>
      <c r="B14" s="258"/>
      <c r="C14" s="258"/>
      <c r="D14" s="258"/>
      <c r="E14" s="258"/>
      <c r="F14" s="259"/>
      <c r="G14" s="22">
        <v>7</v>
      </c>
      <c r="H14" s="49">
        <v>5178637</v>
      </c>
      <c r="I14" s="49">
        <v>4407204</v>
      </c>
    </row>
    <row r="15" spans="1:9" ht="12.75" customHeight="1" x14ac:dyDescent="0.2">
      <c r="A15" s="257" t="s">
        <v>223</v>
      </c>
      <c r="B15" s="258"/>
      <c r="C15" s="258"/>
      <c r="D15" s="258"/>
      <c r="E15" s="258"/>
      <c r="F15" s="259"/>
      <c r="G15" s="22">
        <v>8</v>
      </c>
      <c r="H15" s="49">
        <v>14596528</v>
      </c>
      <c r="I15" s="49">
        <v>1475763</v>
      </c>
    </row>
    <row r="16" spans="1:9" ht="12.75" customHeight="1" x14ac:dyDescent="0.2">
      <c r="A16" s="257" t="s">
        <v>224</v>
      </c>
      <c r="B16" s="258"/>
      <c r="C16" s="258"/>
      <c r="D16" s="258"/>
      <c r="E16" s="258"/>
      <c r="F16" s="259"/>
      <c r="G16" s="22">
        <v>9</v>
      </c>
      <c r="H16" s="49">
        <v>3988538</v>
      </c>
      <c r="I16" s="49">
        <v>792008</v>
      </c>
    </row>
    <row r="17" spans="1:9" ht="27.6" customHeight="1" x14ac:dyDescent="0.2">
      <c r="A17" s="257" t="s">
        <v>225</v>
      </c>
      <c r="B17" s="258"/>
      <c r="C17" s="258"/>
      <c r="D17" s="258"/>
      <c r="E17" s="258"/>
      <c r="F17" s="259"/>
      <c r="G17" s="22">
        <v>10</v>
      </c>
      <c r="H17" s="49">
        <v>78018969</v>
      </c>
      <c r="I17" s="49">
        <v>-33757036</v>
      </c>
    </row>
    <row r="18" spans="1:9" ht="29.45" customHeight="1" x14ac:dyDescent="0.2">
      <c r="A18" s="262" t="s">
        <v>388</v>
      </c>
      <c r="B18" s="263"/>
      <c r="C18" s="263"/>
      <c r="D18" s="263"/>
      <c r="E18" s="263"/>
      <c r="F18" s="264"/>
      <c r="G18" s="17">
        <v>11</v>
      </c>
      <c r="H18" s="48">
        <f>H8+H9</f>
        <v>203160191</v>
      </c>
      <c r="I18" s="48">
        <f>I8+I9</f>
        <v>-7840593</v>
      </c>
    </row>
    <row r="19" spans="1:9" ht="12.75" customHeight="1" x14ac:dyDescent="0.2">
      <c r="A19" s="265" t="s">
        <v>226</v>
      </c>
      <c r="B19" s="266"/>
      <c r="C19" s="266"/>
      <c r="D19" s="266"/>
      <c r="E19" s="266"/>
      <c r="F19" s="267"/>
      <c r="G19" s="17">
        <v>12</v>
      </c>
      <c r="H19" s="48">
        <f>H20+H21+H22+H23</f>
        <v>-50441862</v>
      </c>
      <c r="I19" s="48">
        <f>I20+I21+I22+I23</f>
        <v>45469162</v>
      </c>
    </row>
    <row r="20" spans="1:9" ht="12.75" customHeight="1" x14ac:dyDescent="0.2">
      <c r="A20" s="257" t="s">
        <v>227</v>
      </c>
      <c r="B20" s="258"/>
      <c r="C20" s="258"/>
      <c r="D20" s="258"/>
      <c r="E20" s="258"/>
      <c r="F20" s="259"/>
      <c r="G20" s="22">
        <v>13</v>
      </c>
      <c r="H20" s="49">
        <v>-65159558</v>
      </c>
      <c r="I20" s="49">
        <v>38204917</v>
      </c>
    </row>
    <row r="21" spans="1:9" ht="12.75" customHeight="1" x14ac:dyDescent="0.2">
      <c r="A21" s="257" t="s">
        <v>228</v>
      </c>
      <c r="B21" s="258"/>
      <c r="C21" s="258"/>
      <c r="D21" s="258"/>
      <c r="E21" s="258"/>
      <c r="F21" s="259"/>
      <c r="G21" s="22">
        <v>14</v>
      </c>
      <c r="H21" s="49">
        <v>-1176203</v>
      </c>
      <c r="I21" s="49">
        <v>-8688571</v>
      </c>
    </row>
    <row r="22" spans="1:9" ht="12.75" customHeight="1" x14ac:dyDescent="0.2">
      <c r="A22" s="257" t="s">
        <v>229</v>
      </c>
      <c r="B22" s="258"/>
      <c r="C22" s="258"/>
      <c r="D22" s="258"/>
      <c r="E22" s="258"/>
      <c r="F22" s="259"/>
      <c r="G22" s="22">
        <v>15</v>
      </c>
      <c r="H22" s="49">
        <v>7613960</v>
      </c>
      <c r="I22" s="49">
        <v>-3046514</v>
      </c>
    </row>
    <row r="23" spans="1:9" ht="12.75" customHeight="1" x14ac:dyDescent="0.2">
      <c r="A23" s="257" t="s">
        <v>230</v>
      </c>
      <c r="B23" s="258"/>
      <c r="C23" s="258"/>
      <c r="D23" s="258"/>
      <c r="E23" s="258"/>
      <c r="F23" s="259"/>
      <c r="G23" s="22">
        <v>16</v>
      </c>
      <c r="H23" s="49">
        <v>8279939</v>
      </c>
      <c r="I23" s="49">
        <v>18999330</v>
      </c>
    </row>
    <row r="24" spans="1:9" ht="12.75" customHeight="1" x14ac:dyDescent="0.2">
      <c r="A24" s="262" t="s">
        <v>231</v>
      </c>
      <c r="B24" s="263"/>
      <c r="C24" s="263"/>
      <c r="D24" s="263"/>
      <c r="E24" s="263"/>
      <c r="F24" s="264"/>
      <c r="G24" s="17">
        <v>17</v>
      </c>
      <c r="H24" s="48">
        <f>H18+H19</f>
        <v>152718329</v>
      </c>
      <c r="I24" s="48">
        <f>I18+I19</f>
        <v>37628569</v>
      </c>
    </row>
    <row r="25" spans="1:9" ht="12.75" customHeight="1" x14ac:dyDescent="0.2">
      <c r="A25" s="253" t="s">
        <v>232</v>
      </c>
      <c r="B25" s="254"/>
      <c r="C25" s="254"/>
      <c r="D25" s="254"/>
      <c r="E25" s="254"/>
      <c r="F25" s="255"/>
      <c r="G25" s="22">
        <v>18</v>
      </c>
      <c r="H25" s="49">
        <v>-4678112</v>
      </c>
      <c r="I25" s="49">
        <v>-3910672</v>
      </c>
    </row>
    <row r="26" spans="1:9" ht="12.75" customHeight="1" x14ac:dyDescent="0.2">
      <c r="A26" s="253" t="s">
        <v>233</v>
      </c>
      <c r="B26" s="254"/>
      <c r="C26" s="254"/>
      <c r="D26" s="254"/>
      <c r="E26" s="254"/>
      <c r="F26" s="255"/>
      <c r="G26" s="22">
        <v>19</v>
      </c>
      <c r="H26" s="49">
        <v>-747619</v>
      </c>
      <c r="I26" s="49">
        <v>-217672</v>
      </c>
    </row>
    <row r="27" spans="1:9" ht="28.9" customHeight="1" x14ac:dyDescent="0.2">
      <c r="A27" s="280" t="s">
        <v>234</v>
      </c>
      <c r="B27" s="281"/>
      <c r="C27" s="281"/>
      <c r="D27" s="281"/>
      <c r="E27" s="281"/>
      <c r="F27" s="282"/>
      <c r="G27" s="18">
        <v>20</v>
      </c>
      <c r="H27" s="50">
        <f>H24+H25+H26</f>
        <v>147292598</v>
      </c>
      <c r="I27" s="50">
        <f>I24+I25+I26</f>
        <v>33500225</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871873</v>
      </c>
      <c r="I29" s="51">
        <v>5145</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0</v>
      </c>
      <c r="I31" s="52">
        <v>0</v>
      </c>
    </row>
    <row r="32" spans="1:9" ht="12.75" customHeight="1" x14ac:dyDescent="0.2">
      <c r="A32" s="253" t="s">
        <v>239</v>
      </c>
      <c r="B32" s="254"/>
      <c r="C32" s="254"/>
      <c r="D32" s="254"/>
      <c r="E32" s="254"/>
      <c r="F32" s="255"/>
      <c r="G32" s="22">
        <v>24</v>
      </c>
      <c r="H32" s="52">
        <v>26510</v>
      </c>
      <c r="I32" s="52">
        <v>31802</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898383</v>
      </c>
      <c r="I35" s="53">
        <f>I29+I30+I31+I32+I33+I34</f>
        <v>36947</v>
      </c>
    </row>
    <row r="36" spans="1:9" ht="26.45" customHeight="1" x14ac:dyDescent="0.2">
      <c r="A36" s="253" t="s">
        <v>243</v>
      </c>
      <c r="B36" s="254"/>
      <c r="C36" s="254"/>
      <c r="D36" s="254"/>
      <c r="E36" s="254"/>
      <c r="F36" s="255"/>
      <c r="G36" s="22">
        <v>28</v>
      </c>
      <c r="H36" s="52">
        <v>-153457798</v>
      </c>
      <c r="I36" s="52">
        <v>-109108669</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-153457798</v>
      </c>
      <c r="I41" s="53">
        <f>I36+I37+I38+I39+I40</f>
        <v>-109108669</v>
      </c>
    </row>
    <row r="42" spans="1:9" ht="30.6" customHeight="1" x14ac:dyDescent="0.2">
      <c r="A42" s="280" t="s">
        <v>249</v>
      </c>
      <c r="B42" s="281"/>
      <c r="C42" s="281"/>
      <c r="D42" s="281"/>
      <c r="E42" s="281"/>
      <c r="F42" s="282"/>
      <c r="G42" s="18">
        <v>34</v>
      </c>
      <c r="H42" s="54">
        <f>H35+H41</f>
        <v>-152559415</v>
      </c>
      <c r="I42" s="54">
        <f>I35+I41</f>
        <v>-109071722</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37450000</v>
      </c>
      <c r="I46" s="52">
        <v>105027573</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37450000</v>
      </c>
      <c r="I48" s="53">
        <f>I44+I45+I46+I47</f>
        <v>105027573</v>
      </c>
    </row>
    <row r="49" spans="1:9" ht="24.6" customHeight="1" x14ac:dyDescent="0.2">
      <c r="A49" s="253" t="s">
        <v>387</v>
      </c>
      <c r="B49" s="254"/>
      <c r="C49" s="254"/>
      <c r="D49" s="254"/>
      <c r="E49" s="254"/>
      <c r="F49" s="255"/>
      <c r="G49" s="22">
        <v>40</v>
      </c>
      <c r="H49" s="52">
        <v>-23924390</v>
      </c>
      <c r="I49" s="52">
        <v>-49652708</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-2335</v>
      </c>
      <c r="I51" s="52">
        <v>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-23926725</v>
      </c>
      <c r="I54" s="53">
        <f>I49+I50+I51+I52+I53</f>
        <v>-49652708</v>
      </c>
    </row>
    <row r="55" spans="1:9" ht="27.6" customHeight="1" x14ac:dyDescent="0.2">
      <c r="A55" s="283" t="s">
        <v>261</v>
      </c>
      <c r="B55" s="284"/>
      <c r="C55" s="284"/>
      <c r="D55" s="284"/>
      <c r="E55" s="284"/>
      <c r="F55" s="285"/>
      <c r="G55" s="17">
        <v>46</v>
      </c>
      <c r="H55" s="53">
        <f>H48+H54</f>
        <v>13523275</v>
      </c>
      <c r="I55" s="53">
        <f>I48+I54</f>
        <v>55374865</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8256458</v>
      </c>
      <c r="I57" s="53">
        <f>I27+I42+I55+I56</f>
        <v>-20196632</v>
      </c>
    </row>
    <row r="58" spans="1:9" ht="15.6" customHeight="1" x14ac:dyDescent="0.2">
      <c r="A58" s="286" t="s">
        <v>264</v>
      </c>
      <c r="B58" s="287"/>
      <c r="C58" s="287"/>
      <c r="D58" s="287"/>
      <c r="E58" s="287"/>
      <c r="F58" s="288"/>
      <c r="G58" s="22">
        <v>49</v>
      </c>
      <c r="H58" s="52">
        <v>32578128</v>
      </c>
      <c r="I58" s="52">
        <v>40834586</v>
      </c>
    </row>
    <row r="59" spans="1:9" ht="28.9" customHeight="1" x14ac:dyDescent="0.2">
      <c r="A59" s="280" t="s">
        <v>265</v>
      </c>
      <c r="B59" s="281"/>
      <c r="C59" s="281"/>
      <c r="D59" s="281"/>
      <c r="E59" s="281"/>
      <c r="F59" s="282"/>
      <c r="G59" s="18">
        <v>50</v>
      </c>
      <c r="H59" s="54">
        <f>H57+H58</f>
        <v>40834586</v>
      </c>
      <c r="I59" s="54">
        <f>I57+I58</f>
        <v>20637954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H48" sqref="H48"/>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1">
        <v>0</v>
      </c>
      <c r="I17" s="51">
        <v>0</v>
      </c>
    </row>
    <row r="18" spans="1:9" x14ac:dyDescent="0.2">
      <c r="A18" s="236" t="s">
        <v>277</v>
      </c>
      <c r="B18" s="236"/>
      <c r="C18" s="236"/>
      <c r="D18" s="236"/>
      <c r="E18" s="236"/>
      <c r="F18" s="236"/>
      <c r="G18" s="16">
        <v>11</v>
      </c>
      <c r="H18" s="51">
        <v>0</v>
      </c>
      <c r="I18" s="51">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1">
        <v>0</v>
      </c>
      <c r="I22" s="51">
        <v>0</v>
      </c>
    </row>
    <row r="23" spans="1:9" x14ac:dyDescent="0.2">
      <c r="A23" s="236" t="s">
        <v>281</v>
      </c>
      <c r="B23" s="236"/>
      <c r="C23" s="236"/>
      <c r="D23" s="236"/>
      <c r="E23" s="236"/>
      <c r="F23" s="236"/>
      <c r="G23" s="16">
        <v>15</v>
      </c>
      <c r="H23" s="51">
        <v>0</v>
      </c>
      <c r="I23" s="51">
        <v>0</v>
      </c>
    </row>
    <row r="24" spans="1:9" x14ac:dyDescent="0.2">
      <c r="A24" s="236" t="s">
        <v>282</v>
      </c>
      <c r="B24" s="236"/>
      <c r="C24" s="236"/>
      <c r="D24" s="236"/>
      <c r="E24" s="236"/>
      <c r="F24" s="236"/>
      <c r="G24" s="16">
        <v>16</v>
      </c>
      <c r="H24" s="51">
        <v>0</v>
      </c>
      <c r="I24" s="51">
        <v>0</v>
      </c>
    </row>
    <row r="25" spans="1:9" x14ac:dyDescent="0.2">
      <c r="A25" s="236" t="s">
        <v>283</v>
      </c>
      <c r="B25" s="236"/>
      <c r="C25" s="236"/>
      <c r="D25" s="236"/>
      <c r="E25" s="236"/>
      <c r="F25" s="236"/>
      <c r="G25" s="16">
        <v>17</v>
      </c>
      <c r="H25" s="51">
        <v>0</v>
      </c>
      <c r="I25" s="51">
        <v>0</v>
      </c>
    </row>
    <row r="26" spans="1:9" x14ac:dyDescent="0.2">
      <c r="A26" s="236" t="s">
        <v>284</v>
      </c>
      <c r="B26" s="236"/>
      <c r="C26" s="236"/>
      <c r="D26" s="236"/>
      <c r="E26" s="236"/>
      <c r="F26" s="236"/>
      <c r="G26" s="16">
        <v>18</v>
      </c>
      <c r="H26" s="51">
        <v>0</v>
      </c>
      <c r="I26" s="51">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1">
        <v>0</v>
      </c>
      <c r="I28" s="51">
        <v>0</v>
      </c>
    </row>
    <row r="29" spans="1:9" x14ac:dyDescent="0.2">
      <c r="A29" s="236" t="s">
        <v>287</v>
      </c>
      <c r="B29" s="236"/>
      <c r="C29" s="236"/>
      <c r="D29" s="236"/>
      <c r="E29" s="236"/>
      <c r="F29" s="236"/>
      <c r="G29" s="16">
        <v>21</v>
      </c>
      <c r="H29" s="51">
        <v>0</v>
      </c>
      <c r="I29" s="51">
        <v>0</v>
      </c>
    </row>
    <row r="30" spans="1:9" x14ac:dyDescent="0.2">
      <c r="A30" s="236" t="s">
        <v>288</v>
      </c>
      <c r="B30" s="236"/>
      <c r="C30" s="236"/>
      <c r="D30" s="236"/>
      <c r="E30" s="236"/>
      <c r="F30" s="236"/>
      <c r="G30" s="16">
        <v>22</v>
      </c>
      <c r="H30" s="51">
        <v>0</v>
      </c>
      <c r="I30" s="51">
        <v>0</v>
      </c>
    </row>
    <row r="31" spans="1:9" x14ac:dyDescent="0.2">
      <c r="A31" s="236" t="s">
        <v>289</v>
      </c>
      <c r="B31" s="236"/>
      <c r="C31" s="236"/>
      <c r="D31" s="236"/>
      <c r="E31" s="236"/>
      <c r="F31" s="236"/>
      <c r="G31" s="16">
        <v>23</v>
      </c>
      <c r="H31" s="51">
        <v>0</v>
      </c>
      <c r="I31" s="51">
        <v>0</v>
      </c>
    </row>
    <row r="32" spans="1:9" x14ac:dyDescent="0.2">
      <c r="A32" s="236" t="s">
        <v>290</v>
      </c>
      <c r="B32" s="236"/>
      <c r="C32" s="236"/>
      <c r="D32" s="236"/>
      <c r="E32" s="236"/>
      <c r="F32" s="236"/>
      <c r="G32" s="16">
        <v>24</v>
      </c>
      <c r="H32" s="51">
        <v>0</v>
      </c>
      <c r="I32" s="51">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1">
        <v>0</v>
      </c>
      <c r="I39" s="51">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1">
        <v>0</v>
      </c>
      <c r="I41" s="51">
        <v>0</v>
      </c>
    </row>
    <row r="42" spans="1:9" x14ac:dyDescent="0.2">
      <c r="A42" s="183" t="s">
        <v>299</v>
      </c>
      <c r="B42" s="183"/>
      <c r="C42" s="183"/>
      <c r="D42" s="183"/>
      <c r="E42" s="183"/>
      <c r="F42" s="183"/>
      <c r="G42" s="16">
        <v>33</v>
      </c>
      <c r="H42" s="51">
        <v>0</v>
      </c>
      <c r="I42" s="51">
        <v>0</v>
      </c>
    </row>
    <row r="43" spans="1:9" x14ac:dyDescent="0.2">
      <c r="A43" s="183" t="s">
        <v>300</v>
      </c>
      <c r="B43" s="183"/>
      <c r="C43" s="183"/>
      <c r="D43" s="183"/>
      <c r="E43" s="183"/>
      <c r="F43" s="183"/>
      <c r="G43" s="16">
        <v>34</v>
      </c>
      <c r="H43" s="51">
        <v>0</v>
      </c>
      <c r="I43" s="51">
        <v>0</v>
      </c>
    </row>
    <row r="44" spans="1:9" ht="25.15" customHeight="1" x14ac:dyDescent="0.2">
      <c r="A44" s="183" t="s">
        <v>301</v>
      </c>
      <c r="B44" s="183"/>
      <c r="C44" s="183"/>
      <c r="D44" s="183"/>
      <c r="E44" s="183"/>
      <c r="F44" s="183"/>
      <c r="G44" s="16">
        <v>35</v>
      </c>
      <c r="H44" s="51">
        <v>0</v>
      </c>
      <c r="I44" s="51">
        <v>0</v>
      </c>
    </row>
    <row r="45" spans="1:9" x14ac:dyDescent="0.2">
      <c r="A45" s="183" t="s">
        <v>302</v>
      </c>
      <c r="B45" s="183"/>
      <c r="C45" s="183"/>
      <c r="D45" s="183"/>
      <c r="E45" s="183"/>
      <c r="F45" s="183"/>
      <c r="G45" s="16">
        <v>36</v>
      </c>
      <c r="H45" s="51">
        <v>0</v>
      </c>
      <c r="I45" s="51">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1">
        <v>0</v>
      </c>
      <c r="I48" s="51">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zoomScale="90" zoomScaleNormal="90" zoomScaleSheetLayoutView="80" workbookViewId="0">
      <selection activeCell="A3" sqref="A3:F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43101</v>
      </c>
      <c r="F2" s="6" t="s">
        <v>0</v>
      </c>
      <c r="G2" s="5">
        <v>43465</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277879530</v>
      </c>
      <c r="I7" s="77">
        <v>0</v>
      </c>
      <c r="J7" s="77">
        <v>14549784</v>
      </c>
      <c r="K7" s="77">
        <v>0</v>
      </c>
      <c r="L7" s="77">
        <v>2940</v>
      </c>
      <c r="M7" s="77">
        <v>0</v>
      </c>
      <c r="N7" s="77">
        <v>81604634</v>
      </c>
      <c r="O7" s="77">
        <v>0</v>
      </c>
      <c r="P7" s="77">
        <v>-540252</v>
      </c>
      <c r="Q7" s="77">
        <v>-1492397</v>
      </c>
      <c r="R7" s="77">
        <v>0</v>
      </c>
      <c r="S7" s="77">
        <v>2206015</v>
      </c>
      <c r="T7" s="77">
        <v>7565261</v>
      </c>
      <c r="U7" s="78">
        <f>H7+I7+J7+K7-L7+M7+N7+O7+P7+Q7+R7+S7+T7</f>
        <v>381769635</v>
      </c>
      <c r="V7" s="77">
        <v>0</v>
      </c>
      <c r="W7" s="78">
        <f>U7+V7</f>
        <v>381769635</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277879530</v>
      </c>
      <c r="I10" s="79">
        <f t="shared" ref="I10:W10" si="2">I7+I8+I9</f>
        <v>0</v>
      </c>
      <c r="J10" s="79">
        <f t="shared" si="2"/>
        <v>14549784</v>
      </c>
      <c r="K10" s="79">
        <f t="shared" si="2"/>
        <v>0</v>
      </c>
      <c r="L10" s="79">
        <f t="shared" si="2"/>
        <v>2940</v>
      </c>
      <c r="M10" s="79">
        <f t="shared" si="2"/>
        <v>0</v>
      </c>
      <c r="N10" s="79">
        <f t="shared" si="2"/>
        <v>81604634</v>
      </c>
      <c r="O10" s="79">
        <f t="shared" si="2"/>
        <v>0</v>
      </c>
      <c r="P10" s="79">
        <f t="shared" si="2"/>
        <v>-540252</v>
      </c>
      <c r="Q10" s="79">
        <f t="shared" si="2"/>
        <v>-1492397</v>
      </c>
      <c r="R10" s="79">
        <f t="shared" si="2"/>
        <v>0</v>
      </c>
      <c r="S10" s="79">
        <f t="shared" si="2"/>
        <v>2206015</v>
      </c>
      <c r="T10" s="79">
        <f t="shared" si="2"/>
        <v>7565261</v>
      </c>
      <c r="U10" s="79">
        <f t="shared" si="2"/>
        <v>381769635</v>
      </c>
      <c r="V10" s="79">
        <f t="shared" si="2"/>
        <v>0</v>
      </c>
      <c r="W10" s="79">
        <f t="shared" si="2"/>
        <v>381769635</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f>25019833-17603599</f>
        <v>7416234</v>
      </c>
      <c r="U11" s="78">
        <f>H11+I11+J11+K11-L11+M11+N11+O11+P11+Q11+R11+S11+T11</f>
        <v>7416234</v>
      </c>
      <c r="V11" s="77">
        <v>0</v>
      </c>
      <c r="W11" s="78">
        <f t="shared" ref="W11:W28" si="3">U11+V11</f>
        <v>7416234</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-379260</v>
      </c>
      <c r="Q14" s="81">
        <v>0</v>
      </c>
      <c r="R14" s="81">
        <v>0</v>
      </c>
      <c r="S14" s="77">
        <v>0</v>
      </c>
      <c r="T14" s="77">
        <v>0</v>
      </c>
      <c r="U14" s="78">
        <f t="shared" si="4"/>
        <v>-379260</v>
      </c>
      <c r="V14" s="77">
        <v>0</v>
      </c>
      <c r="W14" s="78">
        <f t="shared" si="3"/>
        <v>-379260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f>668738</f>
        <v>668738</v>
      </c>
      <c r="R15" s="81">
        <v>0</v>
      </c>
      <c r="S15" s="77">
        <v>0</v>
      </c>
      <c r="T15" s="77">
        <v>0</v>
      </c>
      <c r="U15" s="78">
        <f t="shared" si="4"/>
        <v>668738</v>
      </c>
      <c r="V15" s="77">
        <v>0</v>
      </c>
      <c r="W15" s="78">
        <f t="shared" si="3"/>
        <v>668738</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8331345</v>
      </c>
      <c r="O27" s="77">
        <v>0</v>
      </c>
      <c r="P27" s="77">
        <v>0</v>
      </c>
      <c r="Q27" s="77">
        <v>0</v>
      </c>
      <c r="R27" s="77">
        <v>0</v>
      </c>
      <c r="S27" s="77">
        <v>-766084</v>
      </c>
      <c r="T27" s="77">
        <v>-7565261</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277879530</v>
      </c>
      <c r="I29" s="80">
        <f t="shared" ref="I29:W29" si="5">SUM(I10:I28)</f>
        <v>0</v>
      </c>
      <c r="J29" s="80">
        <f t="shared" si="5"/>
        <v>14549784</v>
      </c>
      <c r="K29" s="80">
        <f t="shared" si="5"/>
        <v>0</v>
      </c>
      <c r="L29" s="80">
        <f t="shared" si="5"/>
        <v>2940</v>
      </c>
      <c r="M29" s="80">
        <f t="shared" si="5"/>
        <v>0</v>
      </c>
      <c r="N29" s="80">
        <f t="shared" si="5"/>
        <v>89935979</v>
      </c>
      <c r="O29" s="80">
        <f t="shared" si="5"/>
        <v>0</v>
      </c>
      <c r="P29" s="80">
        <f t="shared" si="5"/>
        <v>-919512</v>
      </c>
      <c r="Q29" s="80">
        <f t="shared" si="5"/>
        <v>-823659</v>
      </c>
      <c r="R29" s="80">
        <f t="shared" si="5"/>
        <v>0</v>
      </c>
      <c r="S29" s="80">
        <f t="shared" si="5"/>
        <v>1439931</v>
      </c>
      <c r="T29" s="80">
        <f t="shared" si="5"/>
        <v>7416234</v>
      </c>
      <c r="U29" s="80">
        <f t="shared" si="5"/>
        <v>389475347</v>
      </c>
      <c r="V29" s="80">
        <f t="shared" si="5"/>
        <v>0</v>
      </c>
      <c r="W29" s="80">
        <f t="shared" si="5"/>
        <v>389475347</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-379260</v>
      </c>
      <c r="Q31" s="79">
        <f t="shared" si="6"/>
        <v>668738</v>
      </c>
      <c r="R31" s="79">
        <f t="shared" si="6"/>
        <v>0</v>
      </c>
      <c r="S31" s="79">
        <f t="shared" si="6"/>
        <v>0</v>
      </c>
      <c r="T31" s="79">
        <f t="shared" si="6"/>
        <v>0</v>
      </c>
      <c r="U31" s="79">
        <f t="shared" si="6"/>
        <v>289478</v>
      </c>
      <c r="V31" s="79">
        <f t="shared" si="6"/>
        <v>0</v>
      </c>
      <c r="W31" s="79">
        <f t="shared" si="6"/>
        <v>289478</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-379260</v>
      </c>
      <c r="Q32" s="79">
        <f t="shared" si="7"/>
        <v>668738</v>
      </c>
      <c r="R32" s="79">
        <f t="shared" si="7"/>
        <v>0</v>
      </c>
      <c r="S32" s="79">
        <f t="shared" si="7"/>
        <v>0</v>
      </c>
      <c r="T32" s="79">
        <f t="shared" si="7"/>
        <v>7416234</v>
      </c>
      <c r="U32" s="79">
        <f t="shared" si="7"/>
        <v>7705712</v>
      </c>
      <c r="V32" s="79">
        <f t="shared" si="7"/>
        <v>0</v>
      </c>
      <c r="W32" s="79">
        <f t="shared" si="7"/>
        <v>7705712</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8331345</v>
      </c>
      <c r="O33" s="80">
        <f t="shared" si="8"/>
        <v>0</v>
      </c>
      <c r="P33" s="80">
        <f t="shared" si="8"/>
        <v>0</v>
      </c>
      <c r="Q33" s="80">
        <f t="shared" si="8"/>
        <v>0</v>
      </c>
      <c r="R33" s="80">
        <f t="shared" si="8"/>
        <v>0</v>
      </c>
      <c r="S33" s="80">
        <f t="shared" si="8"/>
        <v>-766084</v>
      </c>
      <c r="T33" s="80">
        <f t="shared" si="8"/>
        <v>-7565261</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f t="shared" ref="H35:T35" si="9">H29</f>
        <v>277879530</v>
      </c>
      <c r="I35" s="77">
        <f t="shared" si="9"/>
        <v>0</v>
      </c>
      <c r="J35" s="77">
        <f t="shared" si="9"/>
        <v>14549784</v>
      </c>
      <c r="K35" s="77">
        <f t="shared" si="9"/>
        <v>0</v>
      </c>
      <c r="L35" s="77">
        <f t="shared" si="9"/>
        <v>2940</v>
      </c>
      <c r="M35" s="77">
        <f t="shared" si="9"/>
        <v>0</v>
      </c>
      <c r="N35" s="77">
        <f t="shared" si="9"/>
        <v>89935979</v>
      </c>
      <c r="O35" s="77">
        <f t="shared" si="9"/>
        <v>0</v>
      </c>
      <c r="P35" s="77">
        <f t="shared" si="9"/>
        <v>-919512</v>
      </c>
      <c r="Q35" s="77">
        <f>Q29</f>
        <v>-823659</v>
      </c>
      <c r="R35" s="77">
        <f t="shared" si="9"/>
        <v>0</v>
      </c>
      <c r="S35" s="77">
        <f t="shared" si="9"/>
        <v>1439931</v>
      </c>
      <c r="T35" s="77">
        <f t="shared" si="9"/>
        <v>7416234</v>
      </c>
      <c r="U35" s="78">
        <f t="shared" ref="U35:U37" si="10">H35+I35+J35+K35-L35+M35+N35+O35+P35+Q35+R35+S35+T35</f>
        <v>389475347</v>
      </c>
      <c r="V35" s="77">
        <f>V29</f>
        <v>0</v>
      </c>
      <c r="W35" s="78">
        <f t="shared" ref="W35:W37" si="11">U35+V35</f>
        <v>389475347</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301" t="s">
        <v>382</v>
      </c>
      <c r="B38" s="301"/>
      <c r="C38" s="301"/>
      <c r="D38" s="301"/>
      <c r="E38" s="301"/>
      <c r="F38" s="301"/>
      <c r="G38" s="9">
        <v>30</v>
      </c>
      <c r="H38" s="79">
        <f>H35+H36+H37</f>
        <v>277879530</v>
      </c>
      <c r="I38" s="79">
        <f t="shared" ref="I38:W38" si="12">I35+I36+I37</f>
        <v>0</v>
      </c>
      <c r="J38" s="79">
        <f t="shared" si="12"/>
        <v>14549784</v>
      </c>
      <c r="K38" s="79">
        <f t="shared" si="12"/>
        <v>0</v>
      </c>
      <c r="L38" s="79">
        <f t="shared" si="12"/>
        <v>2940</v>
      </c>
      <c r="M38" s="79">
        <f t="shared" si="12"/>
        <v>0</v>
      </c>
      <c r="N38" s="79">
        <f t="shared" si="12"/>
        <v>89935979</v>
      </c>
      <c r="O38" s="79">
        <f t="shared" si="12"/>
        <v>0</v>
      </c>
      <c r="P38" s="79">
        <f t="shared" si="12"/>
        <v>-919512</v>
      </c>
      <c r="Q38" s="79">
        <f t="shared" si="12"/>
        <v>-823659</v>
      </c>
      <c r="R38" s="79">
        <f t="shared" si="12"/>
        <v>0</v>
      </c>
      <c r="S38" s="79">
        <f t="shared" si="12"/>
        <v>1439931</v>
      </c>
      <c r="T38" s="79">
        <f t="shared" si="12"/>
        <v>7416234</v>
      </c>
      <c r="U38" s="79">
        <f t="shared" si="12"/>
        <v>389475347</v>
      </c>
      <c r="V38" s="79">
        <f t="shared" si="12"/>
        <v>0</v>
      </c>
      <c r="W38" s="79">
        <f t="shared" si="12"/>
        <v>389475347</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f>Bilanca!I92</f>
        <v>-81687612</v>
      </c>
      <c r="U39" s="78">
        <f t="shared" ref="U39:U56" si="13">H39+I39+J39+K39-L39+M39+N39+O39+P39+Q39+R39+S39+T39</f>
        <v>-81687612</v>
      </c>
      <c r="V39" s="77">
        <v>0</v>
      </c>
      <c r="W39" s="78">
        <f t="shared" ref="W39:W56" si="14">U39+V39</f>
        <v>-81687612</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-86688</v>
      </c>
      <c r="Q42" s="81">
        <v>0</v>
      </c>
      <c r="R42" s="81">
        <v>0</v>
      </c>
      <c r="S42" s="77">
        <v>0</v>
      </c>
      <c r="T42" s="77">
        <v>0</v>
      </c>
      <c r="U42" s="78">
        <f t="shared" si="13"/>
        <v>-86688</v>
      </c>
      <c r="V42" s="77">
        <v>0</v>
      </c>
      <c r="W42" s="78">
        <f t="shared" si="14"/>
        <v>-86688</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450983</v>
      </c>
      <c r="R43" s="81">
        <v>0</v>
      </c>
      <c r="S43" s="77">
        <v>0</v>
      </c>
      <c r="T43" s="77">
        <v>0</v>
      </c>
      <c r="U43" s="78">
        <f t="shared" si="13"/>
        <v>450983</v>
      </c>
      <c r="V43" s="77">
        <v>0</v>
      </c>
      <c r="W43" s="78">
        <f t="shared" si="14"/>
        <v>450983</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55988</v>
      </c>
      <c r="T53" s="77">
        <v>-55988</v>
      </c>
      <c r="U53" s="78">
        <f t="shared" si="13"/>
        <v>0</v>
      </c>
      <c r="V53" s="77">
        <v>0</v>
      </c>
      <c r="W53" s="78">
        <f t="shared" si="14"/>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x14ac:dyDescent="0.2">
      <c r="A55" s="300" t="s">
        <v>347</v>
      </c>
      <c r="B55" s="300"/>
      <c r="C55" s="300"/>
      <c r="D55" s="300"/>
      <c r="E55" s="300"/>
      <c r="F55" s="300"/>
      <c r="G55" s="8">
        <v>47</v>
      </c>
      <c r="H55" s="77">
        <v>0</v>
      </c>
      <c r="I55" s="77">
        <v>0</v>
      </c>
      <c r="J55" s="77">
        <v>0</v>
      </c>
      <c r="K55" s="77">
        <v>0</v>
      </c>
      <c r="L55" s="77">
        <v>0</v>
      </c>
      <c r="M55" s="77">
        <v>0</v>
      </c>
      <c r="N55" s="77">
        <f>7337231+23015</f>
        <v>7360246</v>
      </c>
      <c r="O55" s="77">
        <v>0</v>
      </c>
      <c r="P55" s="77">
        <v>0</v>
      </c>
      <c r="Q55" s="77">
        <v>0</v>
      </c>
      <c r="R55" s="77">
        <v>0</v>
      </c>
      <c r="S55" s="77">
        <v>0</v>
      </c>
      <c r="T55" s="77">
        <f>-7337231-23015</f>
        <v>-7360246</v>
      </c>
      <c r="U55" s="78">
        <f t="shared" si="13"/>
        <v>0</v>
      </c>
      <c r="V55" s="77">
        <v>0</v>
      </c>
      <c r="W55" s="78">
        <f t="shared" si="14"/>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318" t="s">
        <v>383</v>
      </c>
      <c r="B57" s="318"/>
      <c r="C57" s="318"/>
      <c r="D57" s="318"/>
      <c r="E57" s="318"/>
      <c r="F57" s="318"/>
      <c r="G57" s="10">
        <v>49</v>
      </c>
      <c r="H57" s="80">
        <f>SUM(H38:H56)</f>
        <v>277879530</v>
      </c>
      <c r="I57" s="80">
        <f t="shared" ref="I57:W57" si="15">SUM(I38:I56)</f>
        <v>0</v>
      </c>
      <c r="J57" s="80">
        <f t="shared" si="15"/>
        <v>14549784</v>
      </c>
      <c r="K57" s="80">
        <f t="shared" si="15"/>
        <v>0</v>
      </c>
      <c r="L57" s="80">
        <f t="shared" si="15"/>
        <v>2940</v>
      </c>
      <c r="M57" s="80">
        <f t="shared" si="15"/>
        <v>0</v>
      </c>
      <c r="N57" s="80">
        <f t="shared" si="15"/>
        <v>97296225</v>
      </c>
      <c r="O57" s="80">
        <f t="shared" si="15"/>
        <v>0</v>
      </c>
      <c r="P57" s="80">
        <f t="shared" si="15"/>
        <v>-1006200</v>
      </c>
      <c r="Q57" s="80">
        <f t="shared" si="15"/>
        <v>-372676</v>
      </c>
      <c r="R57" s="80">
        <f t="shared" si="15"/>
        <v>0</v>
      </c>
      <c r="S57" s="80">
        <f t="shared" si="15"/>
        <v>1495919</v>
      </c>
      <c r="T57" s="80">
        <f t="shared" si="15"/>
        <v>-81687612</v>
      </c>
      <c r="U57" s="80">
        <f t="shared" si="15"/>
        <v>308152030</v>
      </c>
      <c r="V57" s="80">
        <f t="shared" si="15"/>
        <v>0</v>
      </c>
      <c r="W57" s="80">
        <f t="shared" si="15"/>
        <v>308152030</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-86688</v>
      </c>
      <c r="Q59" s="79">
        <f t="shared" si="16"/>
        <v>450983</v>
      </c>
      <c r="R59" s="79">
        <f t="shared" si="16"/>
        <v>0</v>
      </c>
      <c r="S59" s="79">
        <f t="shared" si="16"/>
        <v>0</v>
      </c>
      <c r="T59" s="79">
        <f t="shared" si="16"/>
        <v>0</v>
      </c>
      <c r="U59" s="79">
        <f t="shared" si="16"/>
        <v>364295</v>
      </c>
      <c r="V59" s="79">
        <f t="shared" si="16"/>
        <v>0</v>
      </c>
      <c r="W59" s="79">
        <f t="shared" si="16"/>
        <v>364295</v>
      </c>
    </row>
    <row r="60" spans="1:23" ht="27.75" customHeight="1" x14ac:dyDescent="0.2">
      <c r="A60" s="321" t="s">
        <v>359</v>
      </c>
      <c r="B60" s="321"/>
      <c r="C60" s="321"/>
      <c r="D60" s="321"/>
      <c r="E60" s="321"/>
      <c r="F60" s="321"/>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-86688</v>
      </c>
      <c r="Q60" s="79">
        <f t="shared" si="17"/>
        <v>450983</v>
      </c>
      <c r="R60" s="79">
        <f t="shared" si="17"/>
        <v>0</v>
      </c>
      <c r="S60" s="79">
        <f t="shared" si="17"/>
        <v>0</v>
      </c>
      <c r="T60" s="79">
        <f t="shared" si="17"/>
        <v>-81687612</v>
      </c>
      <c r="U60" s="79">
        <f t="shared" si="17"/>
        <v>-81323317</v>
      </c>
      <c r="V60" s="79">
        <f t="shared" si="17"/>
        <v>0</v>
      </c>
      <c r="W60" s="79">
        <f t="shared" si="17"/>
        <v>-81323317</v>
      </c>
    </row>
    <row r="61" spans="1:23" ht="29.25" customHeight="1" x14ac:dyDescent="0.2">
      <c r="A61" s="322" t="s">
        <v>360</v>
      </c>
      <c r="B61" s="322"/>
      <c r="C61" s="322"/>
      <c r="D61" s="322"/>
      <c r="E61" s="322"/>
      <c r="F61" s="322"/>
      <c r="G61" s="10">
        <v>52</v>
      </c>
      <c r="H61" s="80">
        <f>SUM(H49:H56)</f>
        <v>0</v>
      </c>
      <c r="I61" s="80">
        <f t="shared" ref="I61:W61" si="18">SUM(I49:I56)</f>
        <v>0</v>
      </c>
      <c r="J61" s="80">
        <f t="shared" si="18"/>
        <v>0</v>
      </c>
      <c r="K61" s="80">
        <f t="shared" si="18"/>
        <v>0</v>
      </c>
      <c r="L61" s="80">
        <f t="shared" si="18"/>
        <v>0</v>
      </c>
      <c r="M61" s="80">
        <f t="shared" si="18"/>
        <v>0</v>
      </c>
      <c r="N61" s="80">
        <f t="shared" si="18"/>
        <v>7360246</v>
      </c>
      <c r="O61" s="80">
        <f t="shared" si="18"/>
        <v>0</v>
      </c>
      <c r="P61" s="80">
        <f t="shared" si="18"/>
        <v>0</v>
      </c>
      <c r="Q61" s="80">
        <f t="shared" si="18"/>
        <v>0</v>
      </c>
      <c r="R61" s="80">
        <f t="shared" si="18"/>
        <v>0</v>
      </c>
      <c r="S61" s="80">
        <f t="shared" si="18"/>
        <v>55988</v>
      </c>
      <c r="T61" s="80">
        <f t="shared" si="18"/>
        <v>-7416234</v>
      </c>
      <c r="U61" s="80">
        <f t="shared" si="18"/>
        <v>0</v>
      </c>
      <c r="V61" s="80">
        <f t="shared" si="18"/>
        <v>0</v>
      </c>
      <c r="W61" s="80">
        <f t="shared" si="18"/>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7"/>
  <sheetViews>
    <sheetView zoomScaleNormal="100" workbookViewId="0">
      <selection activeCell="K2" sqref="K2"/>
    </sheetView>
  </sheetViews>
  <sheetFormatPr defaultRowHeight="12.75" x14ac:dyDescent="0.2"/>
  <sheetData>
    <row r="1" spans="1:10" x14ac:dyDescent="0.2">
      <c r="A1" s="324" t="s">
        <v>455</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row r="31" spans="1:10" x14ac:dyDescent="0.2">
      <c r="A31" s="326"/>
      <c r="B31" s="326"/>
      <c r="C31" s="326"/>
      <c r="D31" s="326"/>
      <c r="E31" s="326"/>
      <c r="F31" s="326"/>
      <c r="G31" s="326"/>
      <c r="H31" s="326"/>
      <c r="I31" s="326"/>
      <c r="J31" s="326"/>
    </row>
    <row r="32" spans="1:10" x14ac:dyDescent="0.2">
      <c r="A32" s="326"/>
      <c r="B32" s="326"/>
      <c r="C32" s="326"/>
      <c r="D32" s="326"/>
      <c r="E32" s="326"/>
      <c r="F32" s="326"/>
      <c r="G32" s="326"/>
      <c r="H32" s="326"/>
      <c r="I32" s="326"/>
      <c r="J32" s="326"/>
    </row>
    <row r="33" spans="1:10" x14ac:dyDescent="0.2">
      <c r="A33" s="326"/>
      <c r="B33" s="326"/>
      <c r="C33" s="326"/>
      <c r="D33" s="326"/>
      <c r="E33" s="326"/>
      <c r="F33" s="326"/>
      <c r="G33" s="326"/>
      <c r="H33" s="326"/>
      <c r="I33" s="326"/>
      <c r="J33" s="326"/>
    </row>
    <row r="34" spans="1:10" x14ac:dyDescent="0.2">
      <c r="A34" s="326"/>
      <c r="B34" s="326"/>
      <c r="C34" s="326"/>
      <c r="D34" s="326"/>
      <c r="E34" s="326"/>
      <c r="F34" s="326"/>
      <c r="G34" s="326"/>
      <c r="H34" s="326"/>
      <c r="I34" s="326"/>
      <c r="J34" s="326"/>
    </row>
    <row r="35" spans="1:10" x14ac:dyDescent="0.2">
      <c r="A35" s="326"/>
      <c r="B35" s="326"/>
      <c r="C35" s="326"/>
      <c r="D35" s="326"/>
      <c r="E35" s="326"/>
      <c r="F35" s="326"/>
      <c r="G35" s="326"/>
      <c r="H35" s="326"/>
      <c r="I35" s="326"/>
      <c r="J35" s="326"/>
    </row>
    <row r="36" spans="1:10" x14ac:dyDescent="0.2">
      <c r="A36" s="326"/>
      <c r="B36" s="326"/>
      <c r="C36" s="326"/>
      <c r="D36" s="326"/>
      <c r="E36" s="326"/>
      <c r="F36" s="326"/>
      <c r="G36" s="326"/>
      <c r="H36" s="326"/>
      <c r="I36" s="326"/>
      <c r="J36" s="326"/>
    </row>
    <row r="37" spans="1:10" x14ac:dyDescent="0.2">
      <c r="A37" s="326"/>
      <c r="B37" s="326"/>
      <c r="C37" s="326"/>
      <c r="D37" s="326"/>
      <c r="E37" s="326"/>
      <c r="F37" s="326"/>
      <c r="G37" s="326"/>
      <c r="H37" s="326"/>
      <c r="I37" s="326"/>
      <c r="J37" s="326"/>
    </row>
  </sheetData>
  <mergeCells count="1">
    <mergeCell ref="A1:J37"/>
  </mergeCells>
  <pageMargins left="0.70866141732283472" right="0.70866141732283472" top="0.74803149606299213" bottom="0.74803149606299213"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Mikulec Vesna</cp:lastModifiedBy>
  <cp:lastPrinted>2019-04-29T11:54:57Z</cp:lastPrinted>
  <dcterms:created xsi:type="dcterms:W3CDTF">2008-10-17T11:51:54Z</dcterms:created>
  <dcterms:modified xsi:type="dcterms:W3CDTF">2019-04-30T09:55:33Z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