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706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<sst xmlns="http://schemas.openxmlformats.org/spreadsheetml/2006/main" count="412" uniqueCount="349">
  <si>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</si>
  <si>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</si>
  <si>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</si>
  <si>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</si>
  <si>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</si>
  <si>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</si>
  <si>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</si>
  <si>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</si>
  <si>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</si>
  <si>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</si>
  <si>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</si>
  <si>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</si>
  <si>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</si>
  <si>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</si>
  <si>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</si>
  <si>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</si>
  <si>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</si>
  <si>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</si>
  <si>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</si>
  <si>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</si>
  <si>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</si>
  <si>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</si>
  <si>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</si>
  <si>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</si>
  <si>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</si>
  <si>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</si>
  <si>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</si>
  <si>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</si>
  <si>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</si>
  <si>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</si>
  <si>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</si>
  <si>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</si>
  <si>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</si>
  <si>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</si>
  <si>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</si>
  <si>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</si>
  <si>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</si>
  <si>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</si>
  <si>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</si>
  <si>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</si>
  <si>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</si>
  <si>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</si>
  <si>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</si>
  <si>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</si>
  <si>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</si>
  <si>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</si>
  <si>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</si>
  <si>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</si>
  <si>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</si>
  <si>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</si>
  <si>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</si>
  <si>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</si>
  <si>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</si>
  <si>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</si>
  <si>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</si>
  <si>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</si>
  <si>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</si>
  <si>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</si>
  <si>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</si>
  <si>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</si>
  <si>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</si>
  <si>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</si>
  <si>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</si>
  <si>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</si>
  <si>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</si>
  <si>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</si>
  <si>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</si>
  <si>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</si>
  <si>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</si>
  <si>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</si>
  <si>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</si>
  <si>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</si>
  <si>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</si>
  <si>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</si>
  <si>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</si>
  <si>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</si>
  <si>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</si>
  <si>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</si>
  <si>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</si>
  <si>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</si>
  <si>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</si>
  <si>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</si>
  <si>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</si>
  <si>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</si>
  <si>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</si>
  <si>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</si>
  <si>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</si>
  <si>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</si>
  <si>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</si>
  <si>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</si>
  <si>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</si>
  <si>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</si>
  <si>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</si>
  <si>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</si>
  <si>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</si>
  <si>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</si>
  <si>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</si>
  <si>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</si>
  <si>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</si>
  <si>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</si>
  <si>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</si>
  <si>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</si>
  <si>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</si>
  <si>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</si>
  <si>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</si>
  <si>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</si>
  <si>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</si>
  <si>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</si>
  <si>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</si>
  <si>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</si>
  <si>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</si>
  <si>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</si>
  <si>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</si>
  <si>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</si>
  <si>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</si>
  <si>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</si>
  <si>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</si>
  <si>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</si>
  <si>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</si>
  <si>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</si>
  <si>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</si>
  <si>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</si>
  <si>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</si>
  <si>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</si>
  <si>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</si>
  <si>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</si>
  <si>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</si>
  <si>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</si>
  <si>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</si>
  <si>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</si>
  <si>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</si>
  <si>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</si>
  <si>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</si>
  <si>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</si>
  <si>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</si>
  <si>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</si>
  <si>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</si>
  <si>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</si>
  <si>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</si>
  <si>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</si>
  <si>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</si>
  <si>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</si>
  <si>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</si>
  <si>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</si>
  <si>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</si>
  <si>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</si>
  <si>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</si>
  <si>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</si>
  <si>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</si>
  <si>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</si>
  <si>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</si>
  <si>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</si>
  <si>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</si>
  <si>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</si>
  <si>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</si>
  <si>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</si>
  <si>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</si>
  <si>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</si>
  <si>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</si>
  <si>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</si>
  <si>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</si>
  <si>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</si>
  <si>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</si>
  <si>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</si>
  <si>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</si>
  <si>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</si>
  <si>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</si>
  <si>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</si>
  <si>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</si>
  <si>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</si>
  <si>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</si>
  <si>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</si>
  <si>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</si>
  <si>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</si>
  <si>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</si>
  <si>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</si>
  <si>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</si>
  <si>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</si>
  <si>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</si>
  <si>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</si>
  <si>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</si>
  <si>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</si>
  <si>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</si>
  <si>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</si>
  <si>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</si>
  <si>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</si>
  <si>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</si>
  <si>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</si>
  <si>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</si>
  <si>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</si>
  <si>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</si>
  <si>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</si>
  <si>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</si>
  <si>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</si>
  <si>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</si>
  <si>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</si>
  <si>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</si>
  <si>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</si>
  <si>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</si>
  <si>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</si>
  <si>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</si>
  <si>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</si>
  <si>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</si>
  <si>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</si>
  <si>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</si>
  <si>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</si>
  <si>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</si>
  <si>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</si>
  <si>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</si>
  <si>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</si>
  <si>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</si>
  <si>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</si>
  <si>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</si>
  <si>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</si>
  <si>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</si>
  <si>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</si>
  <si>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</si>
  <si>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</si>
  <si>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</si>
  <si>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</si>
  <si>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</si>
  <si>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</si>
  <si>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</si>
  <si>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</si>
  <si>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</si>
  <si>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</si>
  <si>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</si>
  <si>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</si>
  <si>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</si>
  <si>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</si>
  <si>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</si>
  <si>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</si>
  <si>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</si>
  <si>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</si>
  <si>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</si>
  <si>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</si>
  <si>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</si>
  <si>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</si>
  <si>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</si>
  <si>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</si>
  <si>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</si>
  <si>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</si>
  <si>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</si>
  <si>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</si>
  <si>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</si>
  <si>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</si>
  <si>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</si>
  <si>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</si>
  <si>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</si>
  <si>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</si>
  <si>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</si>
  <si>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</si>
  <si>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</si>
  <si>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</si>
  <si>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</si>
  <si>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</si>
  <si>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</si>
  <si>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</si>
  <si>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</si>
  <si>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</si>
  <si>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</si>
  <si>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</si>
  <si>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</si>
  <si>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</si>
  <si>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</si>
  <si>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</si>
  <si>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</si>
  <si>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</si>
  <si>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</si>
  <si>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</si>
  <si>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</si>
  <si>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</si>
  <si>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</si>
  <si>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</si>
  <si>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</si>
  <si>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</si>
  <si>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</si>
  <si>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</si>
  <si>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</si>
  <si>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</si>
  <si>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</si>
  <si>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</si>
  <si>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</si>
  <si>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</si>
  <si>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</si>
  <si>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</si>
  <si>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</si>
  <si>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</si>
  <si>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</si>
  <si>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</si>
  <si>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</si>
  <si>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</si>
  <si>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</si>
  <si>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</si>
  <si>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</si>
  <si>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</si>
  <si>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</si>
  <si>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</si>
  <si>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</si>
  <si>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</si>
  <si>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</si>
  <si>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</si>
  <si>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</si>
  <si>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</si>
  <si>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</si>
  <si>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</si>
  <si>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</si>
  <si>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</si>
  <si>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</si>
  <si>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</si>
  <si>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</si>
  <si>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</si>
  <si>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</si>
  <si>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</si>
  <si>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</si>
  <si>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</si>
  <si>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</si>
  <si>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</si>
  <si>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</si>
  <si>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</si>
  <si>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</si>
  <si>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</si>
  <si>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</si>
  <si>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</si>
  <si>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</si>
  <si>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</si>
  <si>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</si>
  <si>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</si>
  <si>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</si>
  <si>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</si>
  <si>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</si>
  <si>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</si>
  <si>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NE</t>
  </si>
  <si>
    <t>Vesna Mikulec</t>
  </si>
  <si>
    <t>01 616 00 49</t>
  </si>
  <si>
    <t>01 617 66 90</t>
  </si>
  <si>
    <t>vesna.mikulec@croatiaairlines.hr</t>
  </si>
  <si>
    <t>5110</t>
  </si>
  <si>
    <t>Obveznik: CROATIA AIRLINES d.d.</t>
  </si>
  <si>
    <t>AKTIVA</t>
  </si>
  <si>
    <t>1.1.2017.</t>
  </si>
  <si>
    <t>AOP oznaka</t>
  </si>
  <si>
    <t>2</t>
  </si>
  <si>
    <t>5</t>
  </si>
  <si>
    <t>6</t>
  </si>
  <si>
    <t>31.12.2017.</t>
  </si>
  <si>
    <t>stanje na dan 31.12.2017.</t>
  </si>
  <si>
    <t>u razdoblju 1.1.2017. do 31.12.2017.</t>
  </si>
  <si>
    <t>Bajić Jasmin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</si>
</sst>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#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>
        <color rgb="FFE2E2E2"/>
      </right>
      <top style="medium">
        <color rgb="FFE2E2E2"/>
      </top>
      <bottom style="medium">
        <color rgb="FFE2E2E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22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55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56" fillId="0" borderId="0" xfId="0" applyFont="1" applyAlignment="1">
      <alignment horizontal="center" vertical="center"/>
    </xf>
    <xf numFmtId="3" fontId="55" fillId="0" borderId="30" xfId="0" applyNumberFormat="1" applyFont="1" applyBorder="1" applyAlignment="1">
      <alignment vertical="top"/>
    </xf>
    <xf numFmtId="194" fontId="55" fillId="0" borderId="30" xfId="0" applyNumberFormat="1" applyFont="1" applyBorder="1" applyAlignment="1">
      <alignment vertical="top"/>
    </xf>
    <xf numFmtId="3" fontId="0" fillId="0" borderId="0" xfId="0" applyNumberFormat="1" applyFill="1" applyAlignment="1">
      <alignment/>
    </xf>
    <xf numFmtId="3" fontId="57" fillId="0" borderId="0" xfId="0" applyNumberFormat="1" applyFont="1" applyAlignment="1">
      <alignment vertical="top" wrapText="1"/>
    </xf>
    <xf numFmtId="0" fontId="57" fillId="0" borderId="0" xfId="0" applyFont="1" applyAlignment="1">
      <alignment vertical="top" wrapText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3" fontId="57" fillId="0" borderId="0" xfId="0" applyNumberFormat="1" applyFont="1" applyAlignment="1">
      <alignment vertical="top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55" fillId="0" borderId="30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">
      <selection activeCell="I24" sqref="I24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08" t="s">
        <v>248</v>
      </c>
      <c r="B1" s="209"/>
      <c r="C1" s="209"/>
      <c r="D1" s="77"/>
      <c r="E1" s="77"/>
      <c r="F1" s="77"/>
      <c r="G1" s="77"/>
      <c r="H1" s="77"/>
      <c r="I1" s="78"/>
      <c r="J1" s="8"/>
      <c r="K1" s="8"/>
      <c r="L1" s="8"/>
    </row>
    <row r="2" spans="1:12" ht="12.75">
      <c r="A2" s="163" t="s">
        <v>249</v>
      </c>
      <c r="B2" s="164"/>
      <c r="C2" s="164"/>
      <c r="D2" s="165"/>
      <c r="E2" s="111" t="s">
        <v>340</v>
      </c>
      <c r="F2" s="10"/>
      <c r="G2" s="11" t="s">
        <v>250</v>
      </c>
      <c r="H2" s="111" t="s">
        <v>345</v>
      </c>
      <c r="I2" s="79"/>
      <c r="J2" s="8"/>
      <c r="K2" s="8"/>
      <c r="L2" s="8"/>
    </row>
    <row r="3" spans="1:12" ht="12.75">
      <c r="A3" s="80"/>
      <c r="B3" s="12"/>
      <c r="C3" s="12"/>
      <c r="D3" s="12"/>
      <c r="E3" s="13"/>
      <c r="F3" s="13"/>
      <c r="G3" s="12"/>
      <c r="H3" s="12"/>
      <c r="I3" s="81"/>
      <c r="J3" s="8"/>
      <c r="K3" s="8"/>
      <c r="L3" s="8"/>
    </row>
    <row r="4" spans="1:12" ht="15">
      <c r="A4" s="166" t="s">
        <v>317</v>
      </c>
      <c r="B4" s="167"/>
      <c r="C4" s="167"/>
      <c r="D4" s="167"/>
      <c r="E4" s="167"/>
      <c r="F4" s="167"/>
      <c r="G4" s="167"/>
      <c r="H4" s="167"/>
      <c r="I4" s="168"/>
      <c r="J4" s="8"/>
      <c r="K4" s="8"/>
      <c r="L4" s="8"/>
    </row>
    <row r="5" spans="1:12" ht="12.75">
      <c r="A5" s="82"/>
      <c r="B5" s="14"/>
      <c r="C5" s="14"/>
      <c r="D5" s="14"/>
      <c r="E5" s="15"/>
      <c r="F5" s="83"/>
      <c r="G5" s="16"/>
      <c r="H5" s="17"/>
      <c r="I5" s="84"/>
      <c r="J5" s="8"/>
      <c r="K5" s="8"/>
      <c r="L5" s="8"/>
    </row>
    <row r="6" spans="1:12" ht="12.75">
      <c r="A6" s="169" t="s">
        <v>251</v>
      </c>
      <c r="B6" s="170"/>
      <c r="C6" s="161" t="s">
        <v>323</v>
      </c>
      <c r="D6" s="162"/>
      <c r="E6" s="118"/>
      <c r="F6" s="118"/>
      <c r="G6" s="118"/>
      <c r="H6" s="118"/>
      <c r="I6" s="119"/>
      <c r="J6" s="8"/>
      <c r="K6" s="8"/>
      <c r="L6" s="8"/>
    </row>
    <row r="7" spans="1:12" ht="12.75">
      <c r="A7" s="85"/>
      <c r="B7" s="20"/>
      <c r="C7" s="120"/>
      <c r="D7" s="120"/>
      <c r="E7" s="118"/>
      <c r="F7" s="118"/>
      <c r="G7" s="118"/>
      <c r="H7" s="118"/>
      <c r="I7" s="119"/>
      <c r="J7" s="8"/>
      <c r="K7" s="8"/>
      <c r="L7" s="8"/>
    </row>
    <row r="8" spans="1:12" ht="12.75">
      <c r="A8" s="171" t="s">
        <v>252</v>
      </c>
      <c r="B8" s="172"/>
      <c r="C8" s="161" t="s">
        <v>324</v>
      </c>
      <c r="D8" s="162"/>
      <c r="E8" s="118"/>
      <c r="F8" s="118"/>
      <c r="G8" s="118"/>
      <c r="H8" s="118"/>
      <c r="I8" s="121"/>
      <c r="J8" s="8"/>
      <c r="K8" s="8"/>
      <c r="L8" s="8"/>
    </row>
    <row r="9" spans="1:12" ht="12.75">
      <c r="A9" s="87"/>
      <c r="B9" s="46"/>
      <c r="C9" s="122"/>
      <c r="D9" s="123"/>
      <c r="E9" s="120"/>
      <c r="F9" s="120"/>
      <c r="G9" s="120"/>
      <c r="H9" s="120"/>
      <c r="I9" s="121"/>
      <c r="J9" s="8"/>
      <c r="K9" s="8"/>
      <c r="L9" s="8"/>
    </row>
    <row r="10" spans="1:12" ht="12.75">
      <c r="A10" s="158" t="s">
        <v>253</v>
      </c>
      <c r="B10" s="159"/>
      <c r="C10" s="161" t="s">
        <v>325</v>
      </c>
      <c r="D10" s="162"/>
      <c r="E10" s="120"/>
      <c r="F10" s="120"/>
      <c r="G10" s="120"/>
      <c r="H10" s="120"/>
      <c r="I10" s="121"/>
      <c r="J10" s="8"/>
      <c r="K10" s="8"/>
      <c r="L10" s="8"/>
    </row>
    <row r="11" spans="1:12" ht="12.75">
      <c r="A11" s="160"/>
      <c r="B11" s="159"/>
      <c r="C11" s="120"/>
      <c r="D11" s="120"/>
      <c r="E11" s="120"/>
      <c r="F11" s="120"/>
      <c r="G11" s="120"/>
      <c r="H11" s="120"/>
      <c r="I11" s="121"/>
      <c r="J11" s="8"/>
      <c r="K11" s="8"/>
      <c r="L11" s="8"/>
    </row>
    <row r="12" spans="1:12" ht="12.75">
      <c r="A12" s="169" t="s">
        <v>254</v>
      </c>
      <c r="B12" s="170"/>
      <c r="C12" s="173" t="s">
        <v>326</v>
      </c>
      <c r="D12" s="174"/>
      <c r="E12" s="174"/>
      <c r="F12" s="174"/>
      <c r="G12" s="174"/>
      <c r="H12" s="174"/>
      <c r="I12" s="175"/>
      <c r="J12" s="8"/>
      <c r="K12" s="8"/>
      <c r="L12" s="8"/>
    </row>
    <row r="13" spans="1:12" ht="12.75">
      <c r="A13" s="85"/>
      <c r="B13" s="20"/>
      <c r="C13" s="124"/>
      <c r="D13" s="120"/>
      <c r="E13" s="120"/>
      <c r="F13" s="120"/>
      <c r="G13" s="120"/>
      <c r="H13" s="120"/>
      <c r="I13" s="121"/>
      <c r="J13" s="8"/>
      <c r="K13" s="8"/>
      <c r="L13" s="8"/>
    </row>
    <row r="14" spans="1:12" ht="12.75">
      <c r="A14" s="169" t="s">
        <v>255</v>
      </c>
      <c r="B14" s="170"/>
      <c r="C14" s="176">
        <v>10010</v>
      </c>
      <c r="D14" s="177"/>
      <c r="E14" s="120"/>
      <c r="F14" s="173" t="s">
        <v>327</v>
      </c>
      <c r="G14" s="174"/>
      <c r="H14" s="174"/>
      <c r="I14" s="175"/>
      <c r="J14" s="8"/>
      <c r="K14" s="8"/>
      <c r="L14" s="8"/>
    </row>
    <row r="15" spans="1:12" ht="12.75">
      <c r="A15" s="85"/>
      <c r="B15" s="20"/>
      <c r="C15" s="120"/>
      <c r="D15" s="120"/>
      <c r="E15" s="120"/>
      <c r="F15" s="120"/>
      <c r="G15" s="120"/>
      <c r="H15" s="120"/>
      <c r="I15" s="121"/>
      <c r="J15" s="8"/>
      <c r="K15" s="8"/>
      <c r="L15" s="8"/>
    </row>
    <row r="16" spans="1:12" ht="12.75">
      <c r="A16" s="169" t="s">
        <v>256</v>
      </c>
      <c r="B16" s="170"/>
      <c r="C16" s="173" t="s">
        <v>328</v>
      </c>
      <c r="D16" s="174"/>
      <c r="E16" s="174"/>
      <c r="F16" s="174"/>
      <c r="G16" s="174"/>
      <c r="H16" s="174"/>
      <c r="I16" s="175"/>
      <c r="J16" s="8"/>
      <c r="K16" s="8"/>
      <c r="L16" s="8"/>
    </row>
    <row r="17" spans="1:12" ht="12.75">
      <c r="A17" s="85"/>
      <c r="B17" s="20"/>
      <c r="C17" s="120"/>
      <c r="D17" s="120"/>
      <c r="E17" s="120"/>
      <c r="F17" s="120"/>
      <c r="G17" s="120"/>
      <c r="H17" s="120"/>
      <c r="I17" s="121"/>
      <c r="J17" s="8"/>
      <c r="K17" s="8"/>
      <c r="L17" s="8"/>
    </row>
    <row r="18" spans="1:12" ht="12.75">
      <c r="A18" s="169" t="s">
        <v>257</v>
      </c>
      <c r="B18" s="170"/>
      <c r="C18" s="178" t="s">
        <v>329</v>
      </c>
      <c r="D18" s="179"/>
      <c r="E18" s="179"/>
      <c r="F18" s="179"/>
      <c r="G18" s="179"/>
      <c r="H18" s="179"/>
      <c r="I18" s="180"/>
      <c r="J18" s="8"/>
      <c r="K18" s="8"/>
      <c r="L18" s="8"/>
    </row>
    <row r="19" spans="1:12" ht="12.75">
      <c r="A19" s="85"/>
      <c r="B19" s="20"/>
      <c r="C19" s="124"/>
      <c r="D19" s="120"/>
      <c r="E19" s="120"/>
      <c r="F19" s="120"/>
      <c r="G19" s="120"/>
      <c r="H19" s="120"/>
      <c r="I19" s="121"/>
      <c r="J19" s="8"/>
      <c r="K19" s="8"/>
      <c r="L19" s="8"/>
    </row>
    <row r="20" spans="1:12" ht="12.75">
      <c r="A20" s="169" t="s">
        <v>258</v>
      </c>
      <c r="B20" s="170"/>
      <c r="C20" s="178" t="s">
        <v>330</v>
      </c>
      <c r="D20" s="179"/>
      <c r="E20" s="179"/>
      <c r="F20" s="179"/>
      <c r="G20" s="179"/>
      <c r="H20" s="179"/>
      <c r="I20" s="180"/>
      <c r="J20" s="8"/>
      <c r="K20" s="8"/>
      <c r="L20" s="8"/>
    </row>
    <row r="21" spans="1:12" ht="12.75">
      <c r="A21" s="85"/>
      <c r="B21" s="20"/>
      <c r="C21" s="124"/>
      <c r="D21" s="120"/>
      <c r="E21" s="120"/>
      <c r="F21" s="120"/>
      <c r="G21" s="120"/>
      <c r="H21" s="120"/>
      <c r="I21" s="121"/>
      <c r="J21" s="8"/>
      <c r="K21" s="8"/>
      <c r="L21" s="8"/>
    </row>
    <row r="22" spans="1:12" ht="12.75">
      <c r="A22" s="169" t="s">
        <v>259</v>
      </c>
      <c r="B22" s="170"/>
      <c r="C22" s="112">
        <v>133</v>
      </c>
      <c r="D22" s="173" t="s">
        <v>327</v>
      </c>
      <c r="E22" s="181"/>
      <c r="F22" s="182"/>
      <c r="G22" s="183"/>
      <c r="H22" s="184"/>
      <c r="I22" s="88"/>
      <c r="J22" s="8"/>
      <c r="K22" s="8"/>
      <c r="L22" s="8"/>
    </row>
    <row r="23" spans="1:12" ht="12.75">
      <c r="A23" s="85"/>
      <c r="B23" s="20"/>
      <c r="C23" s="14"/>
      <c r="D23" s="22"/>
      <c r="E23" s="22"/>
      <c r="F23" s="22"/>
      <c r="G23" s="22"/>
      <c r="H23" s="14"/>
      <c r="I23" s="86"/>
      <c r="J23" s="8"/>
      <c r="K23" s="8"/>
      <c r="L23" s="8"/>
    </row>
    <row r="24" spans="1:12" ht="12.75">
      <c r="A24" s="169" t="s">
        <v>260</v>
      </c>
      <c r="B24" s="170"/>
      <c r="C24" s="112">
        <v>21</v>
      </c>
      <c r="D24" s="173" t="s">
        <v>331</v>
      </c>
      <c r="E24" s="181"/>
      <c r="F24" s="181"/>
      <c r="G24" s="182"/>
      <c r="H24" s="126" t="s">
        <v>261</v>
      </c>
      <c r="I24" s="156">
        <f>888+36</f>
        <v>924</v>
      </c>
      <c r="J24" s="8"/>
      <c r="K24" s="8"/>
      <c r="L24" s="8"/>
    </row>
    <row r="25" spans="1:12" ht="12.75">
      <c r="A25" s="85"/>
      <c r="B25" s="20"/>
      <c r="C25" s="120"/>
      <c r="D25" s="22"/>
      <c r="E25" s="22"/>
      <c r="F25" s="22"/>
      <c r="G25" s="125"/>
      <c r="H25" s="125" t="s">
        <v>318</v>
      </c>
      <c r="I25" s="89"/>
      <c r="J25" s="8"/>
      <c r="K25" s="8"/>
      <c r="L25" s="8"/>
    </row>
    <row r="26" spans="1:12" ht="12.75">
      <c r="A26" s="169" t="s">
        <v>262</v>
      </c>
      <c r="B26" s="170"/>
      <c r="C26" s="113" t="s">
        <v>332</v>
      </c>
      <c r="D26" s="23"/>
      <c r="E26" s="127"/>
      <c r="F26" s="22"/>
      <c r="G26" s="185" t="s">
        <v>263</v>
      </c>
      <c r="H26" s="186"/>
      <c r="I26" s="114" t="s">
        <v>337</v>
      </c>
      <c r="J26" s="8"/>
      <c r="K26" s="8"/>
      <c r="L26" s="8"/>
    </row>
    <row r="27" spans="1:12" ht="12.75">
      <c r="A27" s="85"/>
      <c r="B27" s="20"/>
      <c r="C27" s="14"/>
      <c r="D27" s="22"/>
      <c r="E27" s="22"/>
      <c r="F27" s="22"/>
      <c r="G27" s="22"/>
      <c r="H27" s="14"/>
      <c r="I27" s="90"/>
      <c r="J27" s="8"/>
      <c r="K27" s="8"/>
      <c r="L27" s="8"/>
    </row>
    <row r="28" spans="1:12" ht="12.75">
      <c r="A28" s="187" t="s">
        <v>264</v>
      </c>
      <c r="B28" s="188"/>
      <c r="C28" s="189"/>
      <c r="D28" s="189"/>
      <c r="E28" s="190" t="s">
        <v>265</v>
      </c>
      <c r="F28" s="191"/>
      <c r="G28" s="191"/>
      <c r="H28" s="192" t="s">
        <v>266</v>
      </c>
      <c r="I28" s="193"/>
      <c r="J28" s="8"/>
      <c r="K28" s="8"/>
      <c r="L28" s="8"/>
    </row>
    <row r="29" spans="1:12" ht="12.75">
      <c r="A29" s="91"/>
      <c r="B29" s="31"/>
      <c r="C29" s="31"/>
      <c r="D29" s="24"/>
      <c r="E29" s="14"/>
      <c r="F29" s="14"/>
      <c r="G29" s="14"/>
      <c r="H29" s="25"/>
      <c r="I29" s="90"/>
      <c r="J29" s="8"/>
      <c r="K29" s="8"/>
      <c r="L29" s="8"/>
    </row>
    <row r="30" spans="1:12" ht="12.75">
      <c r="A30" s="194"/>
      <c r="B30" s="195"/>
      <c r="C30" s="195"/>
      <c r="D30" s="196"/>
      <c r="E30" s="194"/>
      <c r="F30" s="195"/>
      <c r="G30" s="195"/>
      <c r="H30" s="161"/>
      <c r="I30" s="162"/>
      <c r="J30" s="8"/>
      <c r="K30" s="8"/>
      <c r="L30" s="8"/>
    </row>
    <row r="31" spans="1:12" ht="12.75">
      <c r="A31" s="85"/>
      <c r="B31" s="20"/>
      <c r="C31" s="19"/>
      <c r="D31" s="197"/>
      <c r="E31" s="197"/>
      <c r="F31" s="197"/>
      <c r="G31" s="198"/>
      <c r="H31" s="14"/>
      <c r="I31" s="92"/>
      <c r="J31" s="8"/>
      <c r="K31" s="8"/>
      <c r="L31" s="8"/>
    </row>
    <row r="32" spans="1:12" ht="12.75">
      <c r="A32" s="194"/>
      <c r="B32" s="195"/>
      <c r="C32" s="195"/>
      <c r="D32" s="196"/>
      <c r="E32" s="194"/>
      <c r="F32" s="195"/>
      <c r="G32" s="195"/>
      <c r="H32" s="161"/>
      <c r="I32" s="162"/>
      <c r="J32" s="8"/>
      <c r="K32" s="8"/>
      <c r="L32" s="8"/>
    </row>
    <row r="33" spans="1:12" ht="12.75">
      <c r="A33" s="85"/>
      <c r="B33" s="20"/>
      <c r="C33" s="19"/>
      <c r="D33" s="26"/>
      <c r="E33" s="26"/>
      <c r="F33" s="26"/>
      <c r="G33" s="27"/>
      <c r="H33" s="14"/>
      <c r="I33" s="93"/>
      <c r="J33" s="8"/>
      <c r="K33" s="8"/>
      <c r="L33" s="8"/>
    </row>
    <row r="34" spans="1:12" ht="12.75">
      <c r="A34" s="194"/>
      <c r="B34" s="195"/>
      <c r="C34" s="195"/>
      <c r="D34" s="196"/>
      <c r="E34" s="194"/>
      <c r="F34" s="195"/>
      <c r="G34" s="195"/>
      <c r="H34" s="161"/>
      <c r="I34" s="162"/>
      <c r="J34" s="8"/>
      <c r="K34" s="8"/>
      <c r="L34" s="8"/>
    </row>
    <row r="35" spans="1:12" ht="12.75">
      <c r="A35" s="85"/>
      <c r="B35" s="20"/>
      <c r="C35" s="19"/>
      <c r="D35" s="26"/>
      <c r="E35" s="26"/>
      <c r="F35" s="26"/>
      <c r="G35" s="27"/>
      <c r="H35" s="14"/>
      <c r="I35" s="93"/>
      <c r="J35" s="8"/>
      <c r="K35" s="8"/>
      <c r="L35" s="8"/>
    </row>
    <row r="36" spans="1:12" ht="12.75">
      <c r="A36" s="194"/>
      <c r="B36" s="195"/>
      <c r="C36" s="195"/>
      <c r="D36" s="196"/>
      <c r="E36" s="194"/>
      <c r="F36" s="195"/>
      <c r="G36" s="195"/>
      <c r="H36" s="161"/>
      <c r="I36" s="162"/>
      <c r="J36" s="8"/>
      <c r="K36" s="8"/>
      <c r="L36" s="8"/>
    </row>
    <row r="37" spans="1:12" ht="12.75">
      <c r="A37" s="94"/>
      <c r="B37" s="28"/>
      <c r="C37" s="199"/>
      <c r="D37" s="200"/>
      <c r="E37" s="14"/>
      <c r="F37" s="199"/>
      <c r="G37" s="200"/>
      <c r="H37" s="14"/>
      <c r="I37" s="86"/>
      <c r="J37" s="8"/>
      <c r="K37" s="8"/>
      <c r="L37" s="8"/>
    </row>
    <row r="38" spans="1:12" ht="12.75">
      <c r="A38" s="194"/>
      <c r="B38" s="195"/>
      <c r="C38" s="195"/>
      <c r="D38" s="196"/>
      <c r="E38" s="194"/>
      <c r="F38" s="195"/>
      <c r="G38" s="195"/>
      <c r="H38" s="161"/>
      <c r="I38" s="162"/>
      <c r="J38" s="8"/>
      <c r="K38" s="8"/>
      <c r="L38" s="8"/>
    </row>
    <row r="39" spans="1:12" ht="12.75">
      <c r="A39" s="94"/>
      <c r="B39" s="28"/>
      <c r="C39" s="29"/>
      <c r="D39" s="30"/>
      <c r="E39" s="14"/>
      <c r="F39" s="29"/>
      <c r="G39" s="30"/>
      <c r="H39" s="14"/>
      <c r="I39" s="86"/>
      <c r="J39" s="8"/>
      <c r="K39" s="8"/>
      <c r="L39" s="8"/>
    </row>
    <row r="40" spans="1:12" ht="12.75">
      <c r="A40" s="194"/>
      <c r="B40" s="195"/>
      <c r="C40" s="195"/>
      <c r="D40" s="196"/>
      <c r="E40" s="194"/>
      <c r="F40" s="195"/>
      <c r="G40" s="195"/>
      <c r="H40" s="161"/>
      <c r="I40" s="162"/>
      <c r="J40" s="8"/>
      <c r="K40" s="8"/>
      <c r="L40" s="8"/>
    </row>
    <row r="41" spans="1:12" ht="12.75">
      <c r="A41" s="115"/>
      <c r="B41" s="31"/>
      <c r="C41" s="31"/>
      <c r="D41" s="31"/>
      <c r="E41" s="21"/>
      <c r="F41" s="116"/>
      <c r="G41" s="116"/>
      <c r="H41" s="117"/>
      <c r="I41" s="95"/>
      <c r="J41" s="8"/>
      <c r="K41" s="8"/>
      <c r="L41" s="8"/>
    </row>
    <row r="42" spans="1:12" ht="12.75">
      <c r="A42" s="94"/>
      <c r="B42" s="28"/>
      <c r="C42" s="29"/>
      <c r="D42" s="30"/>
      <c r="E42" s="14"/>
      <c r="F42" s="29"/>
      <c r="G42" s="30"/>
      <c r="H42" s="14"/>
      <c r="I42" s="86"/>
      <c r="J42" s="8"/>
      <c r="K42" s="8"/>
      <c r="L42" s="8"/>
    </row>
    <row r="43" spans="1:12" ht="12.75">
      <c r="A43" s="96"/>
      <c r="B43" s="32"/>
      <c r="C43" s="32"/>
      <c r="D43" s="18"/>
      <c r="E43" s="18"/>
      <c r="F43" s="32"/>
      <c r="G43" s="18"/>
      <c r="H43" s="18"/>
      <c r="I43" s="97"/>
      <c r="J43" s="8"/>
      <c r="K43" s="8"/>
      <c r="L43" s="8"/>
    </row>
    <row r="44" spans="1:12" ht="12.75">
      <c r="A44" s="158" t="s">
        <v>267</v>
      </c>
      <c r="B44" s="204"/>
      <c r="C44" s="161"/>
      <c r="D44" s="162"/>
      <c r="E44" s="24"/>
      <c r="F44" s="173"/>
      <c r="G44" s="195"/>
      <c r="H44" s="195"/>
      <c r="I44" s="196"/>
      <c r="J44" s="8"/>
      <c r="K44" s="8"/>
      <c r="L44" s="8"/>
    </row>
    <row r="45" spans="1:12" ht="12.75">
      <c r="A45" s="94"/>
      <c r="B45" s="28"/>
      <c r="C45" s="199"/>
      <c r="D45" s="200"/>
      <c r="E45" s="14"/>
      <c r="F45" s="199"/>
      <c r="G45" s="201"/>
      <c r="H45" s="33"/>
      <c r="I45" s="98"/>
      <c r="J45" s="8"/>
      <c r="K45" s="8"/>
      <c r="L45" s="8"/>
    </row>
    <row r="46" spans="1:12" ht="12.75">
      <c r="A46" s="158" t="s">
        <v>268</v>
      </c>
      <c r="B46" s="204"/>
      <c r="C46" s="173" t="s">
        <v>333</v>
      </c>
      <c r="D46" s="202"/>
      <c r="E46" s="202"/>
      <c r="F46" s="202"/>
      <c r="G46" s="202"/>
      <c r="H46" s="202"/>
      <c r="I46" s="203"/>
      <c r="J46" s="8"/>
      <c r="K46" s="8"/>
      <c r="L46" s="8"/>
    </row>
    <row r="47" spans="1:12" ht="12.75">
      <c r="A47" s="85"/>
      <c r="B47" s="20"/>
      <c r="C47" s="124" t="s">
        <v>269</v>
      </c>
      <c r="D47" s="120"/>
      <c r="E47" s="120"/>
      <c r="F47" s="120"/>
      <c r="G47" s="120"/>
      <c r="H47" s="120"/>
      <c r="I47" s="121"/>
      <c r="J47" s="8"/>
      <c r="K47" s="8"/>
      <c r="L47" s="8"/>
    </row>
    <row r="48" spans="1:12" ht="12.75">
      <c r="A48" s="158" t="s">
        <v>270</v>
      </c>
      <c r="B48" s="204"/>
      <c r="C48" s="205" t="s">
        <v>334</v>
      </c>
      <c r="D48" s="206"/>
      <c r="E48" s="207"/>
      <c r="F48" s="120"/>
      <c r="G48" s="126" t="s">
        <v>271</v>
      </c>
      <c r="H48" s="205" t="s">
        <v>335</v>
      </c>
      <c r="I48" s="207"/>
      <c r="J48" s="8"/>
      <c r="K48" s="8"/>
      <c r="L48" s="8"/>
    </row>
    <row r="49" spans="1:12" ht="12.75">
      <c r="A49" s="85"/>
      <c r="B49" s="20"/>
      <c r="C49" s="124"/>
      <c r="D49" s="120"/>
      <c r="E49" s="120"/>
      <c r="F49" s="120"/>
      <c r="G49" s="120"/>
      <c r="H49" s="120"/>
      <c r="I49" s="121"/>
      <c r="J49" s="8"/>
      <c r="K49" s="8"/>
      <c r="L49" s="8"/>
    </row>
    <row r="50" spans="1:12" ht="12.75">
      <c r="A50" s="158" t="s">
        <v>257</v>
      </c>
      <c r="B50" s="204"/>
      <c r="C50" s="216" t="s">
        <v>336</v>
      </c>
      <c r="D50" s="206"/>
      <c r="E50" s="206"/>
      <c r="F50" s="206"/>
      <c r="G50" s="206"/>
      <c r="H50" s="206"/>
      <c r="I50" s="207"/>
      <c r="J50" s="8"/>
      <c r="K50" s="8"/>
      <c r="L50" s="8"/>
    </row>
    <row r="51" spans="1:12" ht="12.75">
      <c r="A51" s="85"/>
      <c r="B51" s="20"/>
      <c r="C51" s="120"/>
      <c r="D51" s="120"/>
      <c r="E51" s="120"/>
      <c r="F51" s="120"/>
      <c r="G51" s="120"/>
      <c r="H51" s="120"/>
      <c r="I51" s="121"/>
      <c r="J51" s="8"/>
      <c r="K51" s="8"/>
      <c r="L51" s="8"/>
    </row>
    <row r="52" spans="1:12" ht="12.75">
      <c r="A52" s="169" t="s">
        <v>272</v>
      </c>
      <c r="B52" s="170"/>
      <c r="C52" s="205" t="s">
        <v>348</v>
      </c>
      <c r="D52" s="206"/>
      <c r="E52" s="206"/>
      <c r="F52" s="206"/>
      <c r="G52" s="206"/>
      <c r="H52" s="206"/>
      <c r="I52" s="175"/>
      <c r="J52" s="8"/>
      <c r="K52" s="8"/>
      <c r="L52" s="8"/>
    </row>
    <row r="53" spans="1:12" ht="12.75">
      <c r="A53" s="99"/>
      <c r="B53" s="18"/>
      <c r="C53" s="210" t="s">
        <v>273</v>
      </c>
      <c r="D53" s="210"/>
      <c r="E53" s="210"/>
      <c r="F53" s="210"/>
      <c r="G53" s="210"/>
      <c r="H53" s="210"/>
      <c r="I53" s="100"/>
      <c r="J53" s="8"/>
      <c r="K53" s="8"/>
      <c r="L53" s="8"/>
    </row>
    <row r="54" spans="1:12" ht="12.75">
      <c r="A54" s="99"/>
      <c r="B54" s="18"/>
      <c r="C54" s="34"/>
      <c r="D54" s="34"/>
      <c r="E54" s="34"/>
      <c r="F54" s="34"/>
      <c r="G54" s="34"/>
      <c r="H54" s="34"/>
      <c r="I54" s="100"/>
      <c r="J54" s="8"/>
      <c r="K54" s="8"/>
      <c r="L54" s="8"/>
    </row>
    <row r="55" spans="1:12" ht="12.75">
      <c r="A55" s="99"/>
      <c r="B55" s="217" t="s">
        <v>274</v>
      </c>
      <c r="C55" s="218"/>
      <c r="D55" s="218"/>
      <c r="E55" s="218"/>
      <c r="F55" s="45"/>
      <c r="G55" s="45"/>
      <c r="H55" s="45"/>
      <c r="I55" s="101"/>
      <c r="J55" s="8"/>
      <c r="K55" s="8"/>
      <c r="L55" s="8"/>
    </row>
    <row r="56" spans="1:12" ht="12.75">
      <c r="A56" s="99"/>
      <c r="B56" s="219" t="s">
        <v>306</v>
      </c>
      <c r="C56" s="220"/>
      <c r="D56" s="220"/>
      <c r="E56" s="220"/>
      <c r="F56" s="220"/>
      <c r="G56" s="220"/>
      <c r="H56" s="220"/>
      <c r="I56" s="221"/>
      <c r="J56" s="8"/>
      <c r="K56" s="8"/>
      <c r="L56" s="8"/>
    </row>
    <row r="57" spans="1:12" ht="12.75">
      <c r="A57" s="99"/>
      <c r="B57" s="219" t="s">
        <v>307</v>
      </c>
      <c r="C57" s="220"/>
      <c r="D57" s="220"/>
      <c r="E57" s="220"/>
      <c r="F57" s="220"/>
      <c r="G57" s="220"/>
      <c r="H57" s="220"/>
      <c r="I57" s="101"/>
      <c r="J57" s="8"/>
      <c r="K57" s="8"/>
      <c r="L57" s="8"/>
    </row>
    <row r="58" spans="1:12" ht="12.75">
      <c r="A58" s="99"/>
      <c r="B58" s="219" t="s">
        <v>308</v>
      </c>
      <c r="C58" s="220"/>
      <c r="D58" s="220"/>
      <c r="E58" s="220"/>
      <c r="F58" s="220"/>
      <c r="G58" s="220"/>
      <c r="H58" s="220"/>
      <c r="I58" s="221"/>
      <c r="J58" s="8"/>
      <c r="K58" s="8"/>
      <c r="L58" s="8"/>
    </row>
    <row r="59" spans="1:12" ht="12.75">
      <c r="A59" s="99"/>
      <c r="B59" s="219" t="s">
        <v>309</v>
      </c>
      <c r="C59" s="220"/>
      <c r="D59" s="220"/>
      <c r="E59" s="220"/>
      <c r="F59" s="220"/>
      <c r="G59" s="220"/>
      <c r="H59" s="220"/>
      <c r="I59" s="221"/>
      <c r="J59" s="8"/>
      <c r="K59" s="8"/>
      <c r="L59" s="8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8"/>
      <c r="K60" s="8"/>
      <c r="L60" s="8"/>
    </row>
    <row r="61" spans="1:12" ht="13.5" thickBot="1">
      <c r="A61" s="105" t="s">
        <v>275</v>
      </c>
      <c r="B61" s="14"/>
      <c r="C61" s="14"/>
      <c r="D61" s="14"/>
      <c r="E61" s="14"/>
      <c r="F61" s="14"/>
      <c r="G61" s="35"/>
      <c r="H61" s="36"/>
      <c r="I61" s="106"/>
      <c r="J61" s="8"/>
      <c r="K61" s="8"/>
      <c r="L61" s="8"/>
    </row>
    <row r="62" spans="1:12" ht="12.75">
      <c r="A62" s="82"/>
      <c r="B62" s="14"/>
      <c r="C62" s="14"/>
      <c r="D62" s="14"/>
      <c r="E62" s="18" t="s">
        <v>276</v>
      </c>
      <c r="F62" s="31"/>
      <c r="G62" s="211" t="s">
        <v>277</v>
      </c>
      <c r="H62" s="212"/>
      <c r="I62" s="213"/>
      <c r="J62" s="8"/>
      <c r="K62" s="8"/>
      <c r="L62" s="8"/>
    </row>
    <row r="63" spans="1:12" ht="12.75">
      <c r="A63" s="107"/>
      <c r="B63" s="108"/>
      <c r="C63" s="109"/>
      <c r="D63" s="109"/>
      <c r="E63" s="109"/>
      <c r="F63" s="109"/>
      <c r="G63" s="214"/>
      <c r="H63" s="215"/>
      <c r="I63" s="110"/>
      <c r="J63" s="8"/>
      <c r="K63" s="8"/>
      <c r="L63" s="8"/>
    </row>
  </sheetData>
  <sheetProtection/>
  <protectedRanges>
    <protectedRange sqref="E2 H2 I26 I24 A30:I30 A32:I32 A34:D34" name="Range1"/>
    <protectedRange sqref="C6:D6 C8:D8 C10:D10 C12:I12 C14:D14 F14:I14 C16:I16 C18:I18 C20:I20 C22:F22" name="Range1_1"/>
    <protectedRange sqref="C24:G24 C26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4" sqref="A4:IV69"/>
    </sheetView>
  </sheetViews>
  <sheetFormatPr defaultColWidth="9.140625" defaultRowHeight="12.75"/>
  <cols>
    <col min="1" max="6" width="9.140625" style="47" customWidth="1"/>
    <col min="7" max="7" width="6.57421875" style="47" customWidth="1"/>
    <col min="8" max="8" width="2.421875" style="47" customWidth="1"/>
    <col min="9" max="9" width="6.57421875" style="47" customWidth="1"/>
    <col min="10" max="10" width="12.8515625" style="47" customWidth="1"/>
    <col min="11" max="11" width="14.7109375" style="47" customWidth="1"/>
    <col min="12" max="12" width="10.140625" style="47" bestFit="1" customWidth="1"/>
    <col min="13" max="16384" width="9.140625" style="47" customWidth="1"/>
  </cols>
  <sheetData>
    <row r="1" spans="1:11" ht="12.75" customHeight="1">
      <c r="A1" s="261" t="s">
        <v>153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3" t="s">
        <v>338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2.5">
      <c r="A4" s="266" t="s">
        <v>59</v>
      </c>
      <c r="B4" s="267"/>
      <c r="C4" s="267"/>
      <c r="D4" s="267"/>
      <c r="E4" s="267"/>
      <c r="F4" s="267"/>
      <c r="G4" s="267"/>
      <c r="H4" s="268"/>
      <c r="I4" s="52" t="s">
        <v>278</v>
      </c>
      <c r="J4" s="53" t="s">
        <v>319</v>
      </c>
      <c r="K4" s="54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51">
        <v>2</v>
      </c>
      <c r="J5" s="50">
        <v>3</v>
      </c>
      <c r="K5" s="50">
        <v>4</v>
      </c>
    </row>
    <row r="6" spans="1:11" ht="12.75">
      <c r="A6" s="253" t="s">
        <v>339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12.75">
      <c r="A7" s="231" t="s">
        <v>60</v>
      </c>
      <c r="B7" s="232"/>
      <c r="C7" s="232"/>
      <c r="D7" s="232"/>
      <c r="E7" s="232"/>
      <c r="F7" s="232"/>
      <c r="G7" s="232"/>
      <c r="H7" s="252"/>
      <c r="I7" s="2">
        <v>1</v>
      </c>
      <c r="J7" s="138">
        <v>0</v>
      </c>
      <c r="K7" s="138">
        <v>0</v>
      </c>
    </row>
    <row r="8" spans="1:11" ht="12.75">
      <c r="A8" s="238" t="s">
        <v>13</v>
      </c>
      <c r="B8" s="239"/>
      <c r="C8" s="239"/>
      <c r="D8" s="239"/>
      <c r="E8" s="239"/>
      <c r="F8" s="239"/>
      <c r="G8" s="239"/>
      <c r="H8" s="240"/>
      <c r="I8" s="1">
        <v>2</v>
      </c>
      <c r="J8" s="134">
        <f>J9+J16+J26+J35+J39</f>
        <v>644137780</v>
      </c>
      <c r="K8" s="134">
        <f>K9+K16+K26+K35+K39</f>
        <v>623827798</v>
      </c>
    </row>
    <row r="9" spans="1:11" ht="12.75">
      <c r="A9" s="235" t="s">
        <v>205</v>
      </c>
      <c r="B9" s="236"/>
      <c r="C9" s="236"/>
      <c r="D9" s="236"/>
      <c r="E9" s="236"/>
      <c r="F9" s="236"/>
      <c r="G9" s="236"/>
      <c r="H9" s="237"/>
      <c r="I9" s="1">
        <v>3</v>
      </c>
      <c r="J9" s="135">
        <f>J10+J11+J12+J13+J14+J15</f>
        <v>67379124</v>
      </c>
      <c r="K9" s="135">
        <f>K10+K11+K12+K13+K14+K15</f>
        <v>127890970</v>
      </c>
    </row>
    <row r="10" spans="1:11" ht="12.75">
      <c r="A10" s="235" t="s">
        <v>112</v>
      </c>
      <c r="B10" s="236"/>
      <c r="C10" s="236"/>
      <c r="D10" s="236"/>
      <c r="E10" s="236"/>
      <c r="F10" s="236"/>
      <c r="G10" s="236"/>
      <c r="H10" s="237"/>
      <c r="I10" s="1">
        <v>4</v>
      </c>
      <c r="J10" s="133">
        <v>0</v>
      </c>
      <c r="K10" s="133">
        <v>0</v>
      </c>
    </row>
    <row r="11" spans="1:11" ht="12.75">
      <c r="A11" s="235" t="s">
        <v>14</v>
      </c>
      <c r="B11" s="236"/>
      <c r="C11" s="236"/>
      <c r="D11" s="236"/>
      <c r="E11" s="236"/>
      <c r="F11" s="236"/>
      <c r="G11" s="236"/>
      <c r="H11" s="237"/>
      <c r="I11" s="1">
        <v>5</v>
      </c>
      <c r="J11" s="133">
        <v>67379124</v>
      </c>
      <c r="K11" s="133">
        <v>127890970</v>
      </c>
    </row>
    <row r="12" spans="1:11" ht="12.75">
      <c r="A12" s="235" t="s">
        <v>113</v>
      </c>
      <c r="B12" s="236"/>
      <c r="C12" s="236"/>
      <c r="D12" s="236"/>
      <c r="E12" s="236"/>
      <c r="F12" s="236"/>
      <c r="G12" s="236"/>
      <c r="H12" s="237"/>
      <c r="I12" s="1">
        <v>6</v>
      </c>
      <c r="J12" s="133">
        <v>0</v>
      </c>
      <c r="K12" s="133">
        <v>0</v>
      </c>
    </row>
    <row r="13" spans="1:11" ht="12.75">
      <c r="A13" s="235" t="s">
        <v>208</v>
      </c>
      <c r="B13" s="236"/>
      <c r="C13" s="236"/>
      <c r="D13" s="236"/>
      <c r="E13" s="236"/>
      <c r="F13" s="236"/>
      <c r="G13" s="236"/>
      <c r="H13" s="237"/>
      <c r="I13" s="1">
        <v>7</v>
      </c>
      <c r="J13" s="133">
        <v>0</v>
      </c>
      <c r="K13" s="133">
        <v>0</v>
      </c>
    </row>
    <row r="14" spans="1:11" ht="12.75">
      <c r="A14" s="235" t="s">
        <v>209</v>
      </c>
      <c r="B14" s="236"/>
      <c r="C14" s="236"/>
      <c r="D14" s="236"/>
      <c r="E14" s="236"/>
      <c r="F14" s="236"/>
      <c r="G14" s="236"/>
      <c r="H14" s="237"/>
      <c r="I14" s="1">
        <v>8</v>
      </c>
      <c r="J14" s="133">
        <v>0</v>
      </c>
      <c r="K14" s="133">
        <v>0</v>
      </c>
    </row>
    <row r="15" spans="1:11" ht="12.75">
      <c r="A15" s="235" t="s">
        <v>210</v>
      </c>
      <c r="B15" s="236"/>
      <c r="C15" s="236"/>
      <c r="D15" s="236"/>
      <c r="E15" s="236"/>
      <c r="F15" s="236"/>
      <c r="G15" s="236"/>
      <c r="H15" s="237"/>
      <c r="I15" s="1">
        <v>9</v>
      </c>
      <c r="J15" s="133">
        <v>0</v>
      </c>
      <c r="K15" s="133">
        <v>0</v>
      </c>
    </row>
    <row r="16" spans="1:11" ht="12.75">
      <c r="A16" s="235" t="s">
        <v>206</v>
      </c>
      <c r="B16" s="236"/>
      <c r="C16" s="236"/>
      <c r="D16" s="236"/>
      <c r="E16" s="236"/>
      <c r="F16" s="236"/>
      <c r="G16" s="236"/>
      <c r="H16" s="237"/>
      <c r="I16" s="1">
        <v>10</v>
      </c>
      <c r="J16" s="135">
        <f>SUM(J17:J25)</f>
        <v>529764507</v>
      </c>
      <c r="K16" s="135">
        <f>SUM(K17:K25)</f>
        <v>461466282</v>
      </c>
    </row>
    <row r="17" spans="1:11" ht="12.75">
      <c r="A17" s="235" t="s">
        <v>211</v>
      </c>
      <c r="B17" s="236"/>
      <c r="C17" s="236"/>
      <c r="D17" s="236"/>
      <c r="E17" s="236"/>
      <c r="F17" s="236"/>
      <c r="G17" s="236"/>
      <c r="H17" s="237"/>
      <c r="I17" s="1">
        <v>11</v>
      </c>
      <c r="J17" s="133">
        <v>19752892</v>
      </c>
      <c r="K17" s="133">
        <v>19752892</v>
      </c>
    </row>
    <row r="18" spans="1:11" ht="12.75">
      <c r="A18" s="235" t="s">
        <v>247</v>
      </c>
      <c r="B18" s="236"/>
      <c r="C18" s="236"/>
      <c r="D18" s="236"/>
      <c r="E18" s="236"/>
      <c r="F18" s="236"/>
      <c r="G18" s="236"/>
      <c r="H18" s="237"/>
      <c r="I18" s="1">
        <v>12</v>
      </c>
      <c r="J18" s="133">
        <v>27364592</v>
      </c>
      <c r="K18" s="133">
        <v>25796143</v>
      </c>
    </row>
    <row r="19" spans="1:11" ht="12.75">
      <c r="A19" s="235" t="s">
        <v>212</v>
      </c>
      <c r="B19" s="236"/>
      <c r="C19" s="236"/>
      <c r="D19" s="236"/>
      <c r="E19" s="236"/>
      <c r="F19" s="236"/>
      <c r="G19" s="236"/>
      <c r="H19" s="237"/>
      <c r="I19" s="1">
        <v>13</v>
      </c>
      <c r="J19" s="133">
        <v>87087429</v>
      </c>
      <c r="K19" s="133">
        <f>84946278+3195622</f>
        <v>88141900</v>
      </c>
    </row>
    <row r="20" spans="1:11" ht="12.75">
      <c r="A20" s="235" t="s">
        <v>27</v>
      </c>
      <c r="B20" s="236"/>
      <c r="C20" s="236"/>
      <c r="D20" s="236"/>
      <c r="E20" s="236"/>
      <c r="F20" s="236"/>
      <c r="G20" s="236"/>
      <c r="H20" s="237"/>
      <c r="I20" s="1">
        <v>14</v>
      </c>
      <c r="J20" s="133">
        <v>292222132</v>
      </c>
      <c r="K20" s="133">
        <f>325723167-61663749</f>
        <v>264059418</v>
      </c>
    </row>
    <row r="21" spans="1:11" ht="12.75">
      <c r="A21" s="235" t="s">
        <v>28</v>
      </c>
      <c r="B21" s="236"/>
      <c r="C21" s="236"/>
      <c r="D21" s="236"/>
      <c r="E21" s="236"/>
      <c r="F21" s="236"/>
      <c r="G21" s="236"/>
      <c r="H21" s="237"/>
      <c r="I21" s="1">
        <v>15</v>
      </c>
      <c r="J21" s="133">
        <v>0</v>
      </c>
      <c r="K21" s="133">
        <v>0</v>
      </c>
    </row>
    <row r="22" spans="1:11" ht="12.75">
      <c r="A22" s="235" t="s">
        <v>72</v>
      </c>
      <c r="B22" s="236"/>
      <c r="C22" s="236"/>
      <c r="D22" s="236"/>
      <c r="E22" s="236"/>
      <c r="F22" s="236"/>
      <c r="G22" s="236"/>
      <c r="H22" s="237"/>
      <c r="I22" s="1">
        <v>16</v>
      </c>
      <c r="J22" s="133">
        <v>54219948</v>
      </c>
      <c r="K22" s="133">
        <v>49918684</v>
      </c>
    </row>
    <row r="23" spans="1:11" ht="12.75">
      <c r="A23" s="235" t="s">
        <v>73</v>
      </c>
      <c r="B23" s="236"/>
      <c r="C23" s="236"/>
      <c r="D23" s="236"/>
      <c r="E23" s="236"/>
      <c r="F23" s="236"/>
      <c r="G23" s="236"/>
      <c r="H23" s="237"/>
      <c r="I23" s="1">
        <v>17</v>
      </c>
      <c r="J23" s="133">
        <v>46380371</v>
      </c>
      <c r="K23" s="133">
        <v>11331420</v>
      </c>
    </row>
    <row r="24" spans="1:11" ht="12.75">
      <c r="A24" s="235" t="s">
        <v>74</v>
      </c>
      <c r="B24" s="236"/>
      <c r="C24" s="236"/>
      <c r="D24" s="236"/>
      <c r="E24" s="236"/>
      <c r="F24" s="236"/>
      <c r="G24" s="236"/>
      <c r="H24" s="237"/>
      <c r="I24" s="1">
        <v>18</v>
      </c>
      <c r="J24" s="133">
        <v>1156768</v>
      </c>
      <c r="K24" s="133">
        <v>1517947</v>
      </c>
    </row>
    <row r="25" spans="1:11" ht="12.75">
      <c r="A25" s="235" t="s">
        <v>75</v>
      </c>
      <c r="B25" s="236"/>
      <c r="C25" s="236"/>
      <c r="D25" s="236"/>
      <c r="E25" s="236"/>
      <c r="F25" s="236"/>
      <c r="G25" s="236"/>
      <c r="H25" s="237"/>
      <c r="I25" s="1">
        <v>19</v>
      </c>
      <c r="J25" s="133">
        <v>1580375</v>
      </c>
      <c r="K25" s="133">
        <v>947878</v>
      </c>
    </row>
    <row r="26" spans="1:11" ht="12.75">
      <c r="A26" s="235" t="s">
        <v>190</v>
      </c>
      <c r="B26" s="236"/>
      <c r="C26" s="236"/>
      <c r="D26" s="236"/>
      <c r="E26" s="236"/>
      <c r="F26" s="236"/>
      <c r="G26" s="236"/>
      <c r="H26" s="237"/>
      <c r="I26" s="1">
        <v>20</v>
      </c>
      <c r="J26" s="135">
        <f>SUM(J27:J34)</f>
        <v>46819021</v>
      </c>
      <c r="K26" s="135">
        <f>SUM(K27:K34)</f>
        <v>34295418</v>
      </c>
    </row>
    <row r="27" spans="1:11" ht="12.75">
      <c r="A27" s="235" t="s">
        <v>76</v>
      </c>
      <c r="B27" s="236"/>
      <c r="C27" s="236"/>
      <c r="D27" s="236"/>
      <c r="E27" s="236"/>
      <c r="F27" s="236"/>
      <c r="G27" s="236"/>
      <c r="H27" s="237"/>
      <c r="I27" s="1">
        <v>21</v>
      </c>
      <c r="J27" s="133">
        <v>1210400</v>
      </c>
      <c r="K27" s="133">
        <v>1210400</v>
      </c>
    </row>
    <row r="28" spans="1:11" ht="12.75">
      <c r="A28" s="235" t="s">
        <v>77</v>
      </c>
      <c r="B28" s="236"/>
      <c r="C28" s="236"/>
      <c r="D28" s="236"/>
      <c r="E28" s="236"/>
      <c r="F28" s="236"/>
      <c r="G28" s="236"/>
      <c r="H28" s="237"/>
      <c r="I28" s="1">
        <v>22</v>
      </c>
      <c r="J28" s="133">
        <v>0</v>
      </c>
      <c r="K28" s="133">
        <v>0</v>
      </c>
    </row>
    <row r="29" spans="1:11" ht="12.75">
      <c r="A29" s="235" t="s">
        <v>78</v>
      </c>
      <c r="B29" s="236"/>
      <c r="C29" s="236"/>
      <c r="D29" s="236"/>
      <c r="E29" s="236"/>
      <c r="F29" s="236"/>
      <c r="G29" s="236"/>
      <c r="H29" s="237"/>
      <c r="I29" s="1">
        <v>23</v>
      </c>
      <c r="J29" s="133">
        <v>0</v>
      </c>
      <c r="K29" s="133">
        <v>0</v>
      </c>
    </row>
    <row r="30" spans="1:11" ht="12.75">
      <c r="A30" s="235" t="s">
        <v>83</v>
      </c>
      <c r="B30" s="236"/>
      <c r="C30" s="236"/>
      <c r="D30" s="236"/>
      <c r="E30" s="236"/>
      <c r="F30" s="236"/>
      <c r="G30" s="236"/>
      <c r="H30" s="237"/>
      <c r="I30" s="1">
        <v>24</v>
      </c>
      <c r="J30" s="133">
        <v>0</v>
      </c>
      <c r="K30" s="133">
        <v>0</v>
      </c>
    </row>
    <row r="31" spans="1:11" ht="12.75">
      <c r="A31" s="235" t="s">
        <v>84</v>
      </c>
      <c r="B31" s="236"/>
      <c r="C31" s="236"/>
      <c r="D31" s="236"/>
      <c r="E31" s="236"/>
      <c r="F31" s="236"/>
      <c r="G31" s="236"/>
      <c r="H31" s="237"/>
      <c r="I31" s="1">
        <v>25</v>
      </c>
      <c r="J31" s="133">
        <v>1162548</v>
      </c>
      <c r="K31" s="133">
        <v>783288</v>
      </c>
    </row>
    <row r="32" spans="1:11" ht="12.75">
      <c r="A32" s="235" t="s">
        <v>85</v>
      </c>
      <c r="B32" s="236"/>
      <c r="C32" s="236"/>
      <c r="D32" s="236"/>
      <c r="E32" s="236"/>
      <c r="F32" s="236"/>
      <c r="G32" s="236"/>
      <c r="H32" s="237"/>
      <c r="I32" s="1">
        <v>26</v>
      </c>
      <c r="J32" s="133">
        <v>44257072</v>
      </c>
      <c r="K32" s="133">
        <v>32112729</v>
      </c>
    </row>
    <row r="33" spans="1:11" ht="12.75">
      <c r="A33" s="235" t="s">
        <v>79</v>
      </c>
      <c r="B33" s="236"/>
      <c r="C33" s="236"/>
      <c r="D33" s="236"/>
      <c r="E33" s="236"/>
      <c r="F33" s="236"/>
      <c r="G33" s="236"/>
      <c r="H33" s="237"/>
      <c r="I33" s="1">
        <v>27</v>
      </c>
      <c r="J33" s="133">
        <v>189001</v>
      </c>
      <c r="K33" s="133">
        <v>189001</v>
      </c>
    </row>
    <row r="34" spans="1:11" ht="12.75">
      <c r="A34" s="235" t="s">
        <v>183</v>
      </c>
      <c r="B34" s="236"/>
      <c r="C34" s="236"/>
      <c r="D34" s="236"/>
      <c r="E34" s="236"/>
      <c r="F34" s="236"/>
      <c r="G34" s="236"/>
      <c r="H34" s="237"/>
      <c r="I34" s="1">
        <v>28</v>
      </c>
      <c r="J34" s="133">
        <v>0</v>
      </c>
      <c r="K34" s="133">
        <v>0</v>
      </c>
    </row>
    <row r="35" spans="1:11" ht="12.75">
      <c r="A35" s="235" t="s">
        <v>184</v>
      </c>
      <c r="B35" s="236"/>
      <c r="C35" s="236"/>
      <c r="D35" s="236"/>
      <c r="E35" s="236"/>
      <c r="F35" s="236"/>
      <c r="G35" s="236"/>
      <c r="H35" s="237"/>
      <c r="I35" s="1">
        <v>29</v>
      </c>
      <c r="J35" s="135">
        <f>J38</f>
        <v>175128</v>
      </c>
      <c r="K35" s="135">
        <f>K38</f>
        <v>175128</v>
      </c>
    </row>
    <row r="36" spans="1:11" ht="12.75">
      <c r="A36" s="235" t="s">
        <v>80</v>
      </c>
      <c r="B36" s="236"/>
      <c r="C36" s="236"/>
      <c r="D36" s="236"/>
      <c r="E36" s="236"/>
      <c r="F36" s="236"/>
      <c r="G36" s="236"/>
      <c r="H36" s="237"/>
      <c r="I36" s="1">
        <v>30</v>
      </c>
      <c r="J36" s="133">
        <v>0</v>
      </c>
      <c r="K36" s="133">
        <v>0</v>
      </c>
    </row>
    <row r="37" spans="1:11" ht="12.75">
      <c r="A37" s="235" t="s">
        <v>81</v>
      </c>
      <c r="B37" s="236"/>
      <c r="C37" s="236"/>
      <c r="D37" s="236"/>
      <c r="E37" s="236"/>
      <c r="F37" s="236"/>
      <c r="G37" s="236"/>
      <c r="H37" s="237"/>
      <c r="I37" s="1">
        <v>31</v>
      </c>
      <c r="J37" s="133">
        <v>0</v>
      </c>
      <c r="K37" s="133">
        <v>0</v>
      </c>
    </row>
    <row r="38" spans="1:11" ht="12.75">
      <c r="A38" s="235" t="s">
        <v>82</v>
      </c>
      <c r="B38" s="236"/>
      <c r="C38" s="236"/>
      <c r="D38" s="236"/>
      <c r="E38" s="236"/>
      <c r="F38" s="236"/>
      <c r="G38" s="236"/>
      <c r="H38" s="237"/>
      <c r="I38" s="1">
        <v>32</v>
      </c>
      <c r="J38" s="133">
        <v>175128</v>
      </c>
      <c r="K38" s="133">
        <v>175128</v>
      </c>
    </row>
    <row r="39" spans="1:11" ht="12.75">
      <c r="A39" s="235" t="s">
        <v>185</v>
      </c>
      <c r="B39" s="236"/>
      <c r="C39" s="236"/>
      <c r="D39" s="236"/>
      <c r="E39" s="236"/>
      <c r="F39" s="236"/>
      <c r="G39" s="236"/>
      <c r="H39" s="237"/>
      <c r="I39" s="1">
        <v>33</v>
      </c>
      <c r="J39" s="133">
        <v>0</v>
      </c>
      <c r="K39" s="133">
        <v>0</v>
      </c>
    </row>
    <row r="40" spans="1:11" ht="12.75">
      <c r="A40" s="238" t="s">
        <v>240</v>
      </c>
      <c r="B40" s="239"/>
      <c r="C40" s="239"/>
      <c r="D40" s="239"/>
      <c r="E40" s="239"/>
      <c r="F40" s="239"/>
      <c r="G40" s="239"/>
      <c r="H40" s="240"/>
      <c r="I40" s="1">
        <v>34</v>
      </c>
      <c r="J40" s="134">
        <f>J41+J49+J56+J64</f>
        <v>192292032</v>
      </c>
      <c r="K40" s="134">
        <f>K41+K49+K56+K64</f>
        <v>195652810</v>
      </c>
    </row>
    <row r="41" spans="1:11" ht="12.75">
      <c r="A41" s="235" t="s">
        <v>100</v>
      </c>
      <c r="B41" s="236"/>
      <c r="C41" s="236"/>
      <c r="D41" s="236"/>
      <c r="E41" s="236"/>
      <c r="F41" s="236"/>
      <c r="G41" s="236"/>
      <c r="H41" s="237"/>
      <c r="I41" s="1">
        <v>35</v>
      </c>
      <c r="J41" s="135">
        <f>SUM(J42:J48)</f>
        <v>64492785</v>
      </c>
      <c r="K41" s="135">
        <f>SUM(K42:K48)</f>
        <v>65760292</v>
      </c>
    </row>
    <row r="42" spans="1:11" ht="12.75">
      <c r="A42" s="235" t="s">
        <v>117</v>
      </c>
      <c r="B42" s="236"/>
      <c r="C42" s="236"/>
      <c r="D42" s="236"/>
      <c r="E42" s="236"/>
      <c r="F42" s="236"/>
      <c r="G42" s="236"/>
      <c r="H42" s="237"/>
      <c r="I42" s="1">
        <v>36</v>
      </c>
      <c r="J42" s="133">
        <v>64492785</v>
      </c>
      <c r="K42" s="133">
        <v>65760292</v>
      </c>
    </row>
    <row r="43" spans="1:11" ht="12.75">
      <c r="A43" s="235" t="s">
        <v>118</v>
      </c>
      <c r="B43" s="236"/>
      <c r="C43" s="236"/>
      <c r="D43" s="236"/>
      <c r="E43" s="236"/>
      <c r="F43" s="236"/>
      <c r="G43" s="236"/>
      <c r="H43" s="237"/>
      <c r="I43" s="1">
        <v>37</v>
      </c>
      <c r="J43" s="133">
        <v>0</v>
      </c>
      <c r="K43" s="133">
        <v>0</v>
      </c>
    </row>
    <row r="44" spans="1:11" ht="12.75">
      <c r="A44" s="235" t="s">
        <v>86</v>
      </c>
      <c r="B44" s="236"/>
      <c r="C44" s="236"/>
      <c r="D44" s="236"/>
      <c r="E44" s="236"/>
      <c r="F44" s="236"/>
      <c r="G44" s="236"/>
      <c r="H44" s="237"/>
      <c r="I44" s="1">
        <v>38</v>
      </c>
      <c r="J44" s="133">
        <v>0</v>
      </c>
      <c r="K44" s="133">
        <v>0</v>
      </c>
    </row>
    <row r="45" spans="1:11" ht="12.75">
      <c r="A45" s="235" t="s">
        <v>87</v>
      </c>
      <c r="B45" s="236"/>
      <c r="C45" s="236"/>
      <c r="D45" s="236"/>
      <c r="E45" s="236"/>
      <c r="F45" s="236"/>
      <c r="G45" s="236"/>
      <c r="H45" s="237"/>
      <c r="I45" s="1">
        <v>39</v>
      </c>
      <c r="J45" s="133">
        <v>0</v>
      </c>
      <c r="K45" s="133">
        <v>0</v>
      </c>
    </row>
    <row r="46" spans="1:11" ht="12.75">
      <c r="A46" s="235" t="s">
        <v>88</v>
      </c>
      <c r="B46" s="236"/>
      <c r="C46" s="236"/>
      <c r="D46" s="236"/>
      <c r="E46" s="236"/>
      <c r="F46" s="236"/>
      <c r="G46" s="236"/>
      <c r="H46" s="237"/>
      <c r="I46" s="1">
        <v>40</v>
      </c>
      <c r="J46" s="133">
        <v>0</v>
      </c>
      <c r="K46" s="133">
        <v>0</v>
      </c>
    </row>
    <row r="47" spans="1:11" ht="12.75">
      <c r="A47" s="235" t="s">
        <v>89</v>
      </c>
      <c r="B47" s="236"/>
      <c r="C47" s="236"/>
      <c r="D47" s="236"/>
      <c r="E47" s="236"/>
      <c r="F47" s="236"/>
      <c r="G47" s="236"/>
      <c r="H47" s="237"/>
      <c r="I47" s="1">
        <v>41</v>
      </c>
      <c r="J47" s="133">
        <v>0</v>
      </c>
      <c r="K47" s="133">
        <v>0</v>
      </c>
    </row>
    <row r="48" spans="1:11" ht="12.75">
      <c r="A48" s="235" t="s">
        <v>90</v>
      </c>
      <c r="B48" s="236"/>
      <c r="C48" s="236"/>
      <c r="D48" s="236"/>
      <c r="E48" s="236"/>
      <c r="F48" s="236"/>
      <c r="G48" s="236"/>
      <c r="H48" s="237"/>
      <c r="I48" s="1">
        <v>42</v>
      </c>
      <c r="J48" s="133">
        <v>0</v>
      </c>
      <c r="K48" s="133">
        <v>0</v>
      </c>
    </row>
    <row r="49" spans="1:11" ht="12.75">
      <c r="A49" s="235" t="s">
        <v>101</v>
      </c>
      <c r="B49" s="236"/>
      <c r="C49" s="236"/>
      <c r="D49" s="236"/>
      <c r="E49" s="236"/>
      <c r="F49" s="236"/>
      <c r="G49" s="236"/>
      <c r="H49" s="237"/>
      <c r="I49" s="1">
        <v>43</v>
      </c>
      <c r="J49" s="135">
        <f>SUM(J50:J55)</f>
        <v>87790404</v>
      </c>
      <c r="K49" s="135">
        <f>SUM(K50:K55)</f>
        <v>89044134</v>
      </c>
    </row>
    <row r="50" spans="1:11" ht="12.75">
      <c r="A50" s="235" t="s">
        <v>200</v>
      </c>
      <c r="B50" s="236"/>
      <c r="C50" s="236"/>
      <c r="D50" s="236"/>
      <c r="E50" s="236"/>
      <c r="F50" s="236"/>
      <c r="G50" s="236"/>
      <c r="H50" s="237"/>
      <c r="I50" s="1">
        <v>44</v>
      </c>
      <c r="J50" s="133">
        <v>175172</v>
      </c>
      <c r="K50" s="133">
        <v>28938</v>
      </c>
    </row>
    <row r="51" spans="1:11" ht="12.75">
      <c r="A51" s="235" t="s">
        <v>201</v>
      </c>
      <c r="B51" s="236"/>
      <c r="C51" s="236"/>
      <c r="D51" s="236"/>
      <c r="E51" s="236"/>
      <c r="F51" s="236"/>
      <c r="G51" s="236"/>
      <c r="H51" s="237"/>
      <c r="I51" s="1">
        <v>45</v>
      </c>
      <c r="J51" s="133">
        <v>70246998</v>
      </c>
      <c r="K51" s="133">
        <v>75915649</v>
      </c>
    </row>
    <row r="52" spans="1:11" ht="12.75">
      <c r="A52" s="235" t="s">
        <v>202</v>
      </c>
      <c r="B52" s="236"/>
      <c r="C52" s="236"/>
      <c r="D52" s="236"/>
      <c r="E52" s="236"/>
      <c r="F52" s="236"/>
      <c r="G52" s="236"/>
      <c r="H52" s="237"/>
      <c r="I52" s="1">
        <v>46</v>
      </c>
      <c r="J52" s="133">
        <v>0</v>
      </c>
      <c r="K52" s="133">
        <v>0</v>
      </c>
    </row>
    <row r="53" spans="1:11" ht="12.75">
      <c r="A53" s="235" t="s">
        <v>203</v>
      </c>
      <c r="B53" s="236"/>
      <c r="C53" s="236"/>
      <c r="D53" s="236"/>
      <c r="E53" s="236"/>
      <c r="F53" s="236"/>
      <c r="G53" s="236"/>
      <c r="H53" s="237"/>
      <c r="I53" s="1">
        <v>47</v>
      </c>
      <c r="J53" s="133">
        <v>238088</v>
      </c>
      <c r="K53" s="133">
        <v>48043</v>
      </c>
    </row>
    <row r="54" spans="1:11" ht="12.75">
      <c r="A54" s="235" t="s">
        <v>10</v>
      </c>
      <c r="B54" s="236"/>
      <c r="C54" s="236"/>
      <c r="D54" s="236"/>
      <c r="E54" s="236"/>
      <c r="F54" s="236"/>
      <c r="G54" s="236"/>
      <c r="H54" s="237"/>
      <c r="I54" s="1">
        <v>48</v>
      </c>
      <c r="J54" s="133">
        <v>10933680</v>
      </c>
      <c r="K54" s="133">
        <v>9360638</v>
      </c>
    </row>
    <row r="55" spans="1:11" ht="12.75">
      <c r="A55" s="235" t="s">
        <v>11</v>
      </c>
      <c r="B55" s="236"/>
      <c r="C55" s="236"/>
      <c r="D55" s="236"/>
      <c r="E55" s="236"/>
      <c r="F55" s="236"/>
      <c r="G55" s="236"/>
      <c r="H55" s="237"/>
      <c r="I55" s="1">
        <v>49</v>
      </c>
      <c r="J55" s="133">
        <v>6196466</v>
      </c>
      <c r="K55" s="133">
        <v>3690866</v>
      </c>
    </row>
    <row r="56" spans="1:11" ht="12.75">
      <c r="A56" s="235" t="s">
        <v>102</v>
      </c>
      <c r="B56" s="236"/>
      <c r="C56" s="236"/>
      <c r="D56" s="236"/>
      <c r="E56" s="236"/>
      <c r="F56" s="236"/>
      <c r="G56" s="236"/>
      <c r="H56" s="237"/>
      <c r="I56" s="1">
        <v>50</v>
      </c>
      <c r="J56" s="135">
        <f>SUM(J57:J63)</f>
        <v>9916537</v>
      </c>
      <c r="K56" s="135">
        <f>SUM(K57:K63)</f>
        <v>2362406</v>
      </c>
    </row>
    <row r="57" spans="1:11" ht="12.75">
      <c r="A57" s="235" t="s">
        <v>76</v>
      </c>
      <c r="B57" s="236"/>
      <c r="C57" s="236"/>
      <c r="D57" s="236"/>
      <c r="E57" s="236"/>
      <c r="F57" s="236"/>
      <c r="G57" s="236"/>
      <c r="H57" s="237"/>
      <c r="I57" s="1">
        <v>51</v>
      </c>
      <c r="J57" s="133">
        <v>0</v>
      </c>
      <c r="K57" s="133">
        <v>0</v>
      </c>
    </row>
    <row r="58" spans="1:11" ht="12.75">
      <c r="A58" s="235" t="s">
        <v>77</v>
      </c>
      <c r="B58" s="236"/>
      <c r="C58" s="236"/>
      <c r="D58" s="236"/>
      <c r="E58" s="236"/>
      <c r="F58" s="236"/>
      <c r="G58" s="236"/>
      <c r="H58" s="237"/>
      <c r="I58" s="1">
        <v>52</v>
      </c>
      <c r="J58" s="133">
        <v>0</v>
      </c>
      <c r="K58" s="133">
        <v>0</v>
      </c>
    </row>
    <row r="59" spans="1:11" ht="12.75">
      <c r="A59" s="235" t="s">
        <v>242</v>
      </c>
      <c r="B59" s="236"/>
      <c r="C59" s="236"/>
      <c r="D59" s="236"/>
      <c r="E59" s="236"/>
      <c r="F59" s="236"/>
      <c r="G59" s="236"/>
      <c r="H59" s="237"/>
      <c r="I59" s="1">
        <v>53</v>
      </c>
      <c r="J59" s="133">
        <v>0</v>
      </c>
      <c r="K59" s="133">
        <v>0</v>
      </c>
    </row>
    <row r="60" spans="1:11" ht="12.75">
      <c r="A60" s="235" t="s">
        <v>83</v>
      </c>
      <c r="B60" s="236"/>
      <c r="C60" s="236"/>
      <c r="D60" s="236"/>
      <c r="E60" s="236"/>
      <c r="F60" s="236"/>
      <c r="G60" s="236"/>
      <c r="H60" s="237"/>
      <c r="I60" s="1">
        <v>54</v>
      </c>
      <c r="J60" s="133">
        <v>0</v>
      </c>
      <c r="K60" s="133">
        <v>0</v>
      </c>
    </row>
    <row r="61" spans="1:11" ht="12.75">
      <c r="A61" s="235" t="s">
        <v>84</v>
      </c>
      <c r="B61" s="236"/>
      <c r="C61" s="236"/>
      <c r="D61" s="236"/>
      <c r="E61" s="236"/>
      <c r="F61" s="236"/>
      <c r="G61" s="236"/>
      <c r="H61" s="237"/>
      <c r="I61" s="1">
        <v>55</v>
      </c>
      <c r="J61" s="133">
        <v>189</v>
      </c>
      <c r="K61" s="133">
        <v>188</v>
      </c>
    </row>
    <row r="62" spans="1:11" ht="12.75">
      <c r="A62" s="235" t="s">
        <v>85</v>
      </c>
      <c r="B62" s="236"/>
      <c r="C62" s="236"/>
      <c r="D62" s="236"/>
      <c r="E62" s="236"/>
      <c r="F62" s="236"/>
      <c r="G62" s="236"/>
      <c r="H62" s="237"/>
      <c r="I62" s="1">
        <v>56</v>
      </c>
      <c r="J62" s="133">
        <v>9916348</v>
      </c>
      <c r="K62" s="133">
        <v>2362218</v>
      </c>
    </row>
    <row r="63" spans="1:11" ht="12.75">
      <c r="A63" s="235" t="s">
        <v>46</v>
      </c>
      <c r="B63" s="236"/>
      <c r="C63" s="236"/>
      <c r="D63" s="236"/>
      <c r="E63" s="236"/>
      <c r="F63" s="236"/>
      <c r="G63" s="236"/>
      <c r="H63" s="237"/>
      <c r="I63" s="1">
        <v>57</v>
      </c>
      <c r="J63" s="133">
        <v>0</v>
      </c>
      <c r="K63" s="133">
        <v>0</v>
      </c>
    </row>
    <row r="64" spans="1:11" ht="12.75">
      <c r="A64" s="235" t="s">
        <v>207</v>
      </c>
      <c r="B64" s="236"/>
      <c r="C64" s="236"/>
      <c r="D64" s="236"/>
      <c r="E64" s="236"/>
      <c r="F64" s="236"/>
      <c r="G64" s="236"/>
      <c r="H64" s="237"/>
      <c r="I64" s="1">
        <v>58</v>
      </c>
      <c r="J64" s="133">
        <v>30092306</v>
      </c>
      <c r="K64" s="133">
        <v>38485978</v>
      </c>
    </row>
    <row r="65" spans="1:11" ht="12.75">
      <c r="A65" s="238" t="s">
        <v>56</v>
      </c>
      <c r="B65" s="239"/>
      <c r="C65" s="239"/>
      <c r="D65" s="239"/>
      <c r="E65" s="239"/>
      <c r="F65" s="239"/>
      <c r="G65" s="239"/>
      <c r="H65" s="240"/>
      <c r="I65" s="1">
        <v>59</v>
      </c>
      <c r="J65" s="136">
        <v>25982012</v>
      </c>
      <c r="K65" s="136">
        <v>23654676</v>
      </c>
    </row>
    <row r="66" spans="1:11" ht="12.75">
      <c r="A66" s="241" t="s">
        <v>241</v>
      </c>
      <c r="B66" s="242"/>
      <c r="C66" s="242"/>
      <c r="D66" s="242"/>
      <c r="E66" s="242"/>
      <c r="F66" s="242"/>
      <c r="G66" s="242"/>
      <c r="H66" s="243"/>
      <c r="I66" s="3">
        <v>60</v>
      </c>
      <c r="J66" s="139">
        <f>J7+J8+J40+J65</f>
        <v>862411824</v>
      </c>
      <c r="K66" s="139">
        <f>K7+K8+K40+K65</f>
        <v>843135284</v>
      </c>
    </row>
    <row r="67" spans="1:11" ht="12.75">
      <c r="A67" s="253" t="s">
        <v>91</v>
      </c>
      <c r="B67" s="254"/>
      <c r="C67" s="254"/>
      <c r="D67" s="254"/>
      <c r="E67" s="254"/>
      <c r="F67" s="254"/>
      <c r="G67" s="254"/>
      <c r="H67" s="255"/>
      <c r="I67" s="128">
        <v>61</v>
      </c>
      <c r="J67" s="129">
        <v>0</v>
      </c>
      <c r="K67" s="129">
        <v>0</v>
      </c>
    </row>
    <row r="68" spans="1:11" ht="16.5" customHeight="1">
      <c r="A68" s="227" t="s">
        <v>58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7"/>
    </row>
    <row r="69" spans="1:12" ht="12.75">
      <c r="A69" s="231" t="s">
        <v>191</v>
      </c>
      <c r="B69" s="232"/>
      <c r="C69" s="232"/>
      <c r="D69" s="232"/>
      <c r="E69" s="232"/>
      <c r="F69" s="232"/>
      <c r="G69" s="232"/>
      <c r="H69" s="252"/>
      <c r="I69" s="2">
        <v>62</v>
      </c>
      <c r="J69" s="132">
        <f>J70+J71+J72+J78+J79+J82+J85</f>
        <v>359851976</v>
      </c>
      <c r="K69" s="132">
        <f>K70+K71+K72+K78+K79+K82+K85</f>
        <v>387108404</v>
      </c>
      <c r="L69" s="153"/>
    </row>
    <row r="70" spans="1:11" ht="12.75">
      <c r="A70" s="235" t="s">
        <v>141</v>
      </c>
      <c r="B70" s="236"/>
      <c r="C70" s="236"/>
      <c r="D70" s="236"/>
      <c r="E70" s="236"/>
      <c r="F70" s="236"/>
      <c r="G70" s="236"/>
      <c r="H70" s="237"/>
      <c r="I70" s="1">
        <v>63</v>
      </c>
      <c r="J70" s="133">
        <v>277879530</v>
      </c>
      <c r="K70" s="133">
        <v>277879530</v>
      </c>
    </row>
    <row r="71" spans="1:11" ht="12.75">
      <c r="A71" s="235" t="s">
        <v>142</v>
      </c>
      <c r="B71" s="236"/>
      <c r="C71" s="236"/>
      <c r="D71" s="236"/>
      <c r="E71" s="236"/>
      <c r="F71" s="236"/>
      <c r="G71" s="236"/>
      <c r="H71" s="237"/>
      <c r="I71" s="1">
        <v>64</v>
      </c>
      <c r="J71" s="133">
        <v>0</v>
      </c>
      <c r="K71" s="133">
        <v>0</v>
      </c>
    </row>
    <row r="72" spans="1:11" ht="12.75">
      <c r="A72" s="235" t="s">
        <v>143</v>
      </c>
      <c r="B72" s="236"/>
      <c r="C72" s="236"/>
      <c r="D72" s="236"/>
      <c r="E72" s="236"/>
      <c r="F72" s="236"/>
      <c r="G72" s="236"/>
      <c r="H72" s="237"/>
      <c r="I72" s="1">
        <v>65</v>
      </c>
      <c r="J72" s="135">
        <f>J73+J74-J75+J76+J77</f>
        <v>93682152</v>
      </c>
      <c r="K72" s="135">
        <f>K73+K74-K75+K76+K77</f>
        <v>102393383</v>
      </c>
    </row>
    <row r="73" spans="1:11" ht="12.75">
      <c r="A73" s="235" t="s">
        <v>144</v>
      </c>
      <c r="B73" s="236"/>
      <c r="C73" s="236"/>
      <c r="D73" s="236"/>
      <c r="E73" s="236"/>
      <c r="F73" s="236"/>
      <c r="G73" s="236"/>
      <c r="H73" s="237"/>
      <c r="I73" s="1">
        <v>66</v>
      </c>
      <c r="J73" s="133">
        <v>14549784</v>
      </c>
      <c r="K73" s="133">
        <v>14549784</v>
      </c>
    </row>
    <row r="74" spans="1:11" ht="12.75">
      <c r="A74" s="235" t="s">
        <v>145</v>
      </c>
      <c r="B74" s="236"/>
      <c r="C74" s="236"/>
      <c r="D74" s="236"/>
      <c r="E74" s="236"/>
      <c r="F74" s="236"/>
      <c r="G74" s="236"/>
      <c r="H74" s="237"/>
      <c r="I74" s="1">
        <v>67</v>
      </c>
      <c r="J74" s="133">
        <v>0</v>
      </c>
      <c r="K74" s="133">
        <v>0</v>
      </c>
    </row>
    <row r="75" spans="1:11" ht="12.75">
      <c r="A75" s="235" t="s">
        <v>133</v>
      </c>
      <c r="B75" s="236"/>
      <c r="C75" s="236"/>
      <c r="D75" s="236"/>
      <c r="E75" s="236"/>
      <c r="F75" s="236"/>
      <c r="G75" s="236"/>
      <c r="H75" s="237"/>
      <c r="I75" s="1">
        <v>68</v>
      </c>
      <c r="J75" s="133">
        <v>2940</v>
      </c>
      <c r="K75" s="133">
        <v>2940</v>
      </c>
    </row>
    <row r="76" spans="1:11" ht="12.75">
      <c r="A76" s="235" t="s">
        <v>134</v>
      </c>
      <c r="B76" s="236"/>
      <c r="C76" s="236"/>
      <c r="D76" s="236"/>
      <c r="E76" s="236"/>
      <c r="F76" s="236"/>
      <c r="G76" s="236"/>
      <c r="H76" s="237"/>
      <c r="I76" s="1">
        <v>69</v>
      </c>
      <c r="J76" s="133">
        <v>0</v>
      </c>
      <c r="K76" s="133">
        <v>0</v>
      </c>
    </row>
    <row r="77" spans="1:11" ht="12.75">
      <c r="A77" s="235" t="s">
        <v>135</v>
      </c>
      <c r="B77" s="236"/>
      <c r="C77" s="236"/>
      <c r="D77" s="236"/>
      <c r="E77" s="236"/>
      <c r="F77" s="236"/>
      <c r="G77" s="236"/>
      <c r="H77" s="237"/>
      <c r="I77" s="1">
        <v>70</v>
      </c>
      <c r="J77" s="133">
        <v>79135308</v>
      </c>
      <c r="K77" s="133">
        <v>87846539</v>
      </c>
    </row>
    <row r="78" spans="1:11" ht="12.75">
      <c r="A78" s="235" t="s">
        <v>136</v>
      </c>
      <c r="B78" s="236"/>
      <c r="C78" s="236"/>
      <c r="D78" s="236"/>
      <c r="E78" s="236"/>
      <c r="F78" s="236"/>
      <c r="G78" s="236"/>
      <c r="H78" s="237"/>
      <c r="I78" s="1">
        <v>71</v>
      </c>
      <c r="J78" s="133">
        <v>-540252</v>
      </c>
      <c r="K78" s="133">
        <v>-919512</v>
      </c>
    </row>
    <row r="79" spans="1:11" ht="12.75">
      <c r="A79" s="235" t="s">
        <v>238</v>
      </c>
      <c r="B79" s="236"/>
      <c r="C79" s="236"/>
      <c r="D79" s="236"/>
      <c r="E79" s="236"/>
      <c r="F79" s="236"/>
      <c r="G79" s="236"/>
      <c r="H79" s="237"/>
      <c r="I79" s="1">
        <v>72</v>
      </c>
      <c r="J79" s="135">
        <f>J80-J81</f>
        <v>-17735084</v>
      </c>
      <c r="K79" s="135">
        <f>K80-K81</f>
        <v>-19222253</v>
      </c>
    </row>
    <row r="80" spans="1:11" ht="12.75">
      <c r="A80" s="249" t="s">
        <v>169</v>
      </c>
      <c r="B80" s="250"/>
      <c r="C80" s="250"/>
      <c r="D80" s="250"/>
      <c r="E80" s="250"/>
      <c r="F80" s="250"/>
      <c r="G80" s="250"/>
      <c r="H80" s="251"/>
      <c r="I80" s="1">
        <v>73</v>
      </c>
      <c r="J80" s="133">
        <v>0</v>
      </c>
      <c r="K80" s="133">
        <v>0</v>
      </c>
    </row>
    <row r="81" spans="1:11" ht="12.75">
      <c r="A81" s="249" t="s">
        <v>170</v>
      </c>
      <c r="B81" s="250"/>
      <c r="C81" s="250"/>
      <c r="D81" s="250"/>
      <c r="E81" s="250"/>
      <c r="F81" s="250"/>
      <c r="G81" s="250"/>
      <c r="H81" s="251"/>
      <c r="I81" s="1">
        <v>74</v>
      </c>
      <c r="J81" s="133">
        <v>17735084</v>
      </c>
      <c r="K81" s="133">
        <v>19222253</v>
      </c>
    </row>
    <row r="82" spans="1:11" ht="12.75">
      <c r="A82" s="235" t="s">
        <v>239</v>
      </c>
      <c r="B82" s="236"/>
      <c r="C82" s="236"/>
      <c r="D82" s="236"/>
      <c r="E82" s="236"/>
      <c r="F82" s="236"/>
      <c r="G82" s="236"/>
      <c r="H82" s="237"/>
      <c r="I82" s="1">
        <v>75</v>
      </c>
      <c r="J82" s="135">
        <f>J83-J84</f>
        <v>6565630</v>
      </c>
      <c r="K82" s="135">
        <f>K83-K84</f>
        <v>26977256</v>
      </c>
    </row>
    <row r="83" spans="1:11" ht="12.75">
      <c r="A83" s="249" t="s">
        <v>171</v>
      </c>
      <c r="B83" s="250"/>
      <c r="C83" s="250"/>
      <c r="D83" s="250"/>
      <c r="E83" s="250"/>
      <c r="F83" s="250"/>
      <c r="G83" s="250"/>
      <c r="H83" s="251"/>
      <c r="I83" s="1">
        <v>76</v>
      </c>
      <c r="J83" s="133">
        <f>8042493-1476863</f>
        <v>6565630</v>
      </c>
      <c r="K83" s="133">
        <f>85445383-58468127</f>
        <v>26977256</v>
      </c>
    </row>
    <row r="84" spans="1:11" ht="12.75">
      <c r="A84" s="249" t="s">
        <v>172</v>
      </c>
      <c r="B84" s="250"/>
      <c r="C84" s="250"/>
      <c r="D84" s="250"/>
      <c r="E84" s="250"/>
      <c r="F84" s="250"/>
      <c r="G84" s="250"/>
      <c r="H84" s="251"/>
      <c r="I84" s="1">
        <v>77</v>
      </c>
      <c r="J84" s="133">
        <v>0</v>
      </c>
      <c r="K84" s="133">
        <v>0</v>
      </c>
    </row>
    <row r="85" spans="1:11" ht="12.75">
      <c r="A85" s="235" t="s">
        <v>173</v>
      </c>
      <c r="B85" s="236"/>
      <c r="C85" s="236"/>
      <c r="D85" s="236"/>
      <c r="E85" s="236"/>
      <c r="F85" s="236"/>
      <c r="G85" s="236"/>
      <c r="H85" s="237"/>
      <c r="I85" s="1">
        <v>78</v>
      </c>
      <c r="J85" s="133">
        <v>0</v>
      </c>
      <c r="K85" s="133">
        <v>0</v>
      </c>
    </row>
    <row r="86" spans="1:11" ht="12.75">
      <c r="A86" s="238" t="s">
        <v>19</v>
      </c>
      <c r="B86" s="239"/>
      <c r="C86" s="239"/>
      <c r="D86" s="239"/>
      <c r="E86" s="239"/>
      <c r="F86" s="239"/>
      <c r="G86" s="239"/>
      <c r="H86" s="240"/>
      <c r="I86" s="1">
        <v>79</v>
      </c>
      <c r="J86" s="134">
        <f>SUM(J87:J89)</f>
        <v>3336063</v>
      </c>
      <c r="K86" s="134">
        <f>SUM(K87:K89)</f>
        <v>12524436</v>
      </c>
    </row>
    <row r="87" spans="1:11" ht="12.75">
      <c r="A87" s="235" t="s">
        <v>129</v>
      </c>
      <c r="B87" s="236"/>
      <c r="C87" s="236"/>
      <c r="D87" s="236"/>
      <c r="E87" s="236"/>
      <c r="F87" s="236"/>
      <c r="G87" s="236"/>
      <c r="H87" s="237"/>
      <c r="I87" s="1">
        <v>80</v>
      </c>
      <c r="J87" s="133">
        <v>1002314</v>
      </c>
      <c r="K87" s="133">
        <v>1259245</v>
      </c>
    </row>
    <row r="88" spans="1:11" ht="12.75">
      <c r="A88" s="235" t="s">
        <v>130</v>
      </c>
      <c r="B88" s="236"/>
      <c r="C88" s="236"/>
      <c r="D88" s="236"/>
      <c r="E88" s="236"/>
      <c r="F88" s="236"/>
      <c r="G88" s="236"/>
      <c r="H88" s="237"/>
      <c r="I88" s="1">
        <v>81</v>
      </c>
      <c r="J88" s="133">
        <v>0</v>
      </c>
      <c r="K88" s="133">
        <v>0</v>
      </c>
    </row>
    <row r="89" spans="1:11" ht="12.75">
      <c r="A89" s="235" t="s">
        <v>131</v>
      </c>
      <c r="B89" s="236"/>
      <c r="C89" s="236"/>
      <c r="D89" s="236"/>
      <c r="E89" s="236"/>
      <c r="F89" s="236"/>
      <c r="G89" s="236"/>
      <c r="H89" s="237"/>
      <c r="I89" s="1">
        <v>82</v>
      </c>
      <c r="J89" s="133">
        <v>2333749</v>
      </c>
      <c r="K89" s="133">
        <v>11265191</v>
      </c>
    </row>
    <row r="90" spans="1:11" ht="12.75">
      <c r="A90" s="238" t="s">
        <v>20</v>
      </c>
      <c r="B90" s="239"/>
      <c r="C90" s="239"/>
      <c r="D90" s="239"/>
      <c r="E90" s="239"/>
      <c r="F90" s="239"/>
      <c r="G90" s="239"/>
      <c r="H90" s="240"/>
      <c r="I90" s="1">
        <v>83</v>
      </c>
      <c r="J90" s="134">
        <f>SUM(J91:J99)</f>
        <v>31825093</v>
      </c>
      <c r="K90" s="134">
        <f>SUM(K91:K99)</f>
        <v>16575026</v>
      </c>
    </row>
    <row r="91" spans="1:11" ht="12.75">
      <c r="A91" s="235" t="s">
        <v>132</v>
      </c>
      <c r="B91" s="236"/>
      <c r="C91" s="236"/>
      <c r="D91" s="236"/>
      <c r="E91" s="236"/>
      <c r="F91" s="236"/>
      <c r="G91" s="236"/>
      <c r="H91" s="237"/>
      <c r="I91" s="1">
        <v>84</v>
      </c>
      <c r="J91" s="133">
        <v>0</v>
      </c>
      <c r="K91" s="133">
        <v>0</v>
      </c>
    </row>
    <row r="92" spans="1:11" ht="12.75">
      <c r="A92" s="235" t="s">
        <v>243</v>
      </c>
      <c r="B92" s="236"/>
      <c r="C92" s="236"/>
      <c r="D92" s="236"/>
      <c r="E92" s="236"/>
      <c r="F92" s="236"/>
      <c r="G92" s="236"/>
      <c r="H92" s="237"/>
      <c r="I92" s="1">
        <v>85</v>
      </c>
      <c r="J92" s="133">
        <v>45000</v>
      </c>
      <c r="K92" s="133">
        <v>45000</v>
      </c>
    </row>
    <row r="93" spans="1:11" ht="12.75">
      <c r="A93" s="235" t="s">
        <v>0</v>
      </c>
      <c r="B93" s="236"/>
      <c r="C93" s="236"/>
      <c r="D93" s="236"/>
      <c r="E93" s="236"/>
      <c r="F93" s="236"/>
      <c r="G93" s="236"/>
      <c r="H93" s="237"/>
      <c r="I93" s="1">
        <v>86</v>
      </c>
      <c r="J93" s="133">
        <v>31780093</v>
      </c>
      <c r="K93" s="133">
        <v>16530026</v>
      </c>
    </row>
    <row r="94" spans="1:11" ht="12.75">
      <c r="A94" s="235" t="s">
        <v>244</v>
      </c>
      <c r="B94" s="236"/>
      <c r="C94" s="236"/>
      <c r="D94" s="236"/>
      <c r="E94" s="236"/>
      <c r="F94" s="236"/>
      <c r="G94" s="236"/>
      <c r="H94" s="237"/>
      <c r="I94" s="1">
        <v>87</v>
      </c>
      <c r="J94" s="133">
        <v>0</v>
      </c>
      <c r="K94" s="133">
        <v>0</v>
      </c>
    </row>
    <row r="95" spans="1:11" ht="12.75">
      <c r="A95" s="235" t="s">
        <v>245</v>
      </c>
      <c r="B95" s="236"/>
      <c r="C95" s="236"/>
      <c r="D95" s="236"/>
      <c r="E95" s="236"/>
      <c r="F95" s="236"/>
      <c r="G95" s="236"/>
      <c r="H95" s="237"/>
      <c r="I95" s="1">
        <v>88</v>
      </c>
      <c r="J95" s="133">
        <v>0</v>
      </c>
      <c r="K95" s="133">
        <v>0</v>
      </c>
    </row>
    <row r="96" spans="1:11" ht="12.75">
      <c r="A96" s="235" t="s">
        <v>246</v>
      </c>
      <c r="B96" s="236"/>
      <c r="C96" s="236"/>
      <c r="D96" s="236"/>
      <c r="E96" s="236"/>
      <c r="F96" s="236"/>
      <c r="G96" s="236"/>
      <c r="H96" s="237"/>
      <c r="I96" s="1">
        <v>89</v>
      </c>
      <c r="J96" s="133">
        <v>0</v>
      </c>
      <c r="K96" s="133">
        <v>0</v>
      </c>
    </row>
    <row r="97" spans="1:11" ht="12.75">
      <c r="A97" s="235" t="s">
        <v>94</v>
      </c>
      <c r="B97" s="236"/>
      <c r="C97" s="236"/>
      <c r="D97" s="236"/>
      <c r="E97" s="236"/>
      <c r="F97" s="236"/>
      <c r="G97" s="236"/>
      <c r="H97" s="237"/>
      <c r="I97" s="1">
        <v>90</v>
      </c>
      <c r="J97" s="133">
        <v>0</v>
      </c>
      <c r="K97" s="133">
        <v>0</v>
      </c>
    </row>
    <row r="98" spans="1:11" ht="12.75">
      <c r="A98" s="235" t="s">
        <v>92</v>
      </c>
      <c r="B98" s="236"/>
      <c r="C98" s="236"/>
      <c r="D98" s="236"/>
      <c r="E98" s="236"/>
      <c r="F98" s="236"/>
      <c r="G98" s="236"/>
      <c r="H98" s="237"/>
      <c r="I98" s="1">
        <v>91</v>
      </c>
      <c r="J98" s="133">
        <v>0</v>
      </c>
      <c r="K98" s="133">
        <v>0</v>
      </c>
    </row>
    <row r="99" spans="1:11" ht="12.75">
      <c r="A99" s="235" t="s">
        <v>93</v>
      </c>
      <c r="B99" s="236"/>
      <c r="C99" s="236"/>
      <c r="D99" s="236"/>
      <c r="E99" s="236"/>
      <c r="F99" s="236"/>
      <c r="G99" s="236"/>
      <c r="H99" s="237"/>
      <c r="I99" s="1">
        <v>92</v>
      </c>
      <c r="J99" s="133">
        <v>0</v>
      </c>
      <c r="K99" s="133">
        <v>0</v>
      </c>
    </row>
    <row r="100" spans="1:11" ht="12.75">
      <c r="A100" s="238" t="s">
        <v>21</v>
      </c>
      <c r="B100" s="239"/>
      <c r="C100" s="239"/>
      <c r="D100" s="239"/>
      <c r="E100" s="239"/>
      <c r="F100" s="239"/>
      <c r="G100" s="239"/>
      <c r="H100" s="240"/>
      <c r="I100" s="1">
        <v>93</v>
      </c>
      <c r="J100" s="134">
        <f>SUM(J101:J112)</f>
        <v>436047679</v>
      </c>
      <c r="K100" s="134">
        <f>SUM(K101:K112)</f>
        <v>410386335</v>
      </c>
    </row>
    <row r="101" spans="1:11" ht="12.75">
      <c r="A101" s="235" t="s">
        <v>132</v>
      </c>
      <c r="B101" s="236"/>
      <c r="C101" s="236"/>
      <c r="D101" s="236"/>
      <c r="E101" s="236"/>
      <c r="F101" s="236"/>
      <c r="G101" s="236"/>
      <c r="H101" s="237"/>
      <c r="I101" s="1">
        <v>94</v>
      </c>
      <c r="J101" s="133">
        <v>0</v>
      </c>
      <c r="K101" s="133">
        <v>1780</v>
      </c>
    </row>
    <row r="102" spans="1:11" ht="12.75">
      <c r="A102" s="235" t="s">
        <v>243</v>
      </c>
      <c r="B102" s="236"/>
      <c r="C102" s="236"/>
      <c r="D102" s="236"/>
      <c r="E102" s="236"/>
      <c r="F102" s="236"/>
      <c r="G102" s="236"/>
      <c r="H102" s="237"/>
      <c r="I102" s="1">
        <v>95</v>
      </c>
      <c r="J102" s="133">
        <v>11185444</v>
      </c>
      <c r="K102" s="133">
        <v>11048292</v>
      </c>
    </row>
    <row r="103" spans="1:11" ht="12.75">
      <c r="A103" s="235" t="s">
        <v>0</v>
      </c>
      <c r="B103" s="236"/>
      <c r="C103" s="236"/>
      <c r="D103" s="236"/>
      <c r="E103" s="236"/>
      <c r="F103" s="236"/>
      <c r="G103" s="236"/>
      <c r="H103" s="237"/>
      <c r="I103" s="1">
        <v>96</v>
      </c>
      <c r="J103" s="133">
        <v>48276631</v>
      </c>
      <c r="K103" s="133">
        <v>69070970</v>
      </c>
    </row>
    <row r="104" spans="1:11" ht="12.75">
      <c r="A104" s="235" t="s">
        <v>244</v>
      </c>
      <c r="B104" s="236"/>
      <c r="C104" s="236"/>
      <c r="D104" s="236"/>
      <c r="E104" s="236"/>
      <c r="F104" s="236"/>
      <c r="G104" s="236"/>
      <c r="H104" s="237"/>
      <c r="I104" s="1">
        <v>97</v>
      </c>
      <c r="J104" s="133">
        <v>3679324</v>
      </c>
      <c r="K104" s="133">
        <v>1730463</v>
      </c>
    </row>
    <row r="105" spans="1:11" ht="12.75">
      <c r="A105" s="235" t="s">
        <v>245</v>
      </c>
      <c r="B105" s="236"/>
      <c r="C105" s="236"/>
      <c r="D105" s="236"/>
      <c r="E105" s="236"/>
      <c r="F105" s="236"/>
      <c r="G105" s="236"/>
      <c r="H105" s="237"/>
      <c r="I105" s="1">
        <v>98</v>
      </c>
      <c r="J105" s="133">
        <v>202767278</v>
      </c>
      <c r="K105" s="133">
        <v>148663278</v>
      </c>
    </row>
    <row r="106" spans="1:11" ht="12.75">
      <c r="A106" s="235" t="s">
        <v>246</v>
      </c>
      <c r="B106" s="236"/>
      <c r="C106" s="236"/>
      <c r="D106" s="236"/>
      <c r="E106" s="236"/>
      <c r="F106" s="236"/>
      <c r="G106" s="236"/>
      <c r="H106" s="237"/>
      <c r="I106" s="1">
        <v>99</v>
      </c>
      <c r="J106" s="133">
        <v>0</v>
      </c>
      <c r="K106" s="133">
        <v>0</v>
      </c>
    </row>
    <row r="107" spans="1:11" ht="12.75">
      <c r="A107" s="235" t="s">
        <v>94</v>
      </c>
      <c r="B107" s="236"/>
      <c r="C107" s="236"/>
      <c r="D107" s="236"/>
      <c r="E107" s="236"/>
      <c r="F107" s="236"/>
      <c r="G107" s="236"/>
      <c r="H107" s="237"/>
      <c r="I107" s="1">
        <v>100</v>
      </c>
      <c r="J107" s="133">
        <v>0</v>
      </c>
      <c r="K107" s="133">
        <v>0</v>
      </c>
    </row>
    <row r="108" spans="1:11" ht="12.75">
      <c r="A108" s="235" t="s">
        <v>95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133">
        <v>10104380</v>
      </c>
      <c r="K108" s="133">
        <v>9537625</v>
      </c>
    </row>
    <row r="109" spans="1:11" ht="12.75">
      <c r="A109" s="235" t="s">
        <v>96</v>
      </c>
      <c r="B109" s="236"/>
      <c r="C109" s="236"/>
      <c r="D109" s="236"/>
      <c r="E109" s="236"/>
      <c r="F109" s="236"/>
      <c r="G109" s="236"/>
      <c r="H109" s="237"/>
      <c r="I109" s="1">
        <v>102</v>
      </c>
      <c r="J109" s="133">
        <v>8268264</v>
      </c>
      <c r="K109" s="133">
        <v>8359155</v>
      </c>
    </row>
    <row r="110" spans="1:11" ht="12.75">
      <c r="A110" s="235" t="s">
        <v>99</v>
      </c>
      <c r="B110" s="236"/>
      <c r="C110" s="236"/>
      <c r="D110" s="236"/>
      <c r="E110" s="236"/>
      <c r="F110" s="236"/>
      <c r="G110" s="236"/>
      <c r="H110" s="237"/>
      <c r="I110" s="1">
        <v>103</v>
      </c>
      <c r="J110" s="133">
        <v>20000</v>
      </c>
      <c r="K110" s="133">
        <v>0</v>
      </c>
    </row>
    <row r="111" spans="1:11" ht="12.75">
      <c r="A111" s="235" t="s">
        <v>97</v>
      </c>
      <c r="B111" s="236"/>
      <c r="C111" s="236"/>
      <c r="D111" s="236"/>
      <c r="E111" s="236"/>
      <c r="F111" s="236"/>
      <c r="G111" s="236"/>
      <c r="H111" s="237"/>
      <c r="I111" s="1">
        <v>104</v>
      </c>
      <c r="J111" s="133">
        <v>0</v>
      </c>
      <c r="K111" s="133">
        <v>0</v>
      </c>
    </row>
    <row r="112" spans="1:11" ht="12.75">
      <c r="A112" s="235" t="s">
        <v>98</v>
      </c>
      <c r="B112" s="236"/>
      <c r="C112" s="236"/>
      <c r="D112" s="236"/>
      <c r="E112" s="236"/>
      <c r="F112" s="236"/>
      <c r="G112" s="236"/>
      <c r="H112" s="237"/>
      <c r="I112" s="1">
        <v>105</v>
      </c>
      <c r="J112" s="133">
        <f>138880035+12866323</f>
        <v>151746358</v>
      </c>
      <c r="K112" s="133">
        <v>161974772</v>
      </c>
    </row>
    <row r="113" spans="1:11" ht="12.75">
      <c r="A113" s="238" t="s">
        <v>1</v>
      </c>
      <c r="B113" s="239"/>
      <c r="C113" s="239"/>
      <c r="D113" s="239"/>
      <c r="E113" s="239"/>
      <c r="F113" s="239"/>
      <c r="G113" s="239"/>
      <c r="H113" s="240"/>
      <c r="I113" s="1">
        <v>106</v>
      </c>
      <c r="J113" s="136">
        <f>25005389+4868761+1476863</f>
        <v>31351013</v>
      </c>
      <c r="K113" s="136">
        <v>16541083</v>
      </c>
    </row>
    <row r="114" spans="1:11" ht="12.75">
      <c r="A114" s="241" t="s">
        <v>25</v>
      </c>
      <c r="B114" s="242"/>
      <c r="C114" s="242"/>
      <c r="D114" s="242"/>
      <c r="E114" s="242"/>
      <c r="F114" s="242"/>
      <c r="G114" s="242"/>
      <c r="H114" s="243"/>
      <c r="I114" s="3">
        <v>107</v>
      </c>
      <c r="J114" s="139">
        <f>J69+J86+J90+J100+J113</f>
        <v>862411824</v>
      </c>
      <c r="K114" s="139">
        <f>K69+K86+K90+K100+K113</f>
        <v>843135284</v>
      </c>
    </row>
    <row r="115" spans="1:11" ht="12.75">
      <c r="A115" s="224" t="s">
        <v>57</v>
      </c>
      <c r="B115" s="225"/>
      <c r="C115" s="225"/>
      <c r="D115" s="225"/>
      <c r="E115" s="225"/>
      <c r="F115" s="225"/>
      <c r="G115" s="225"/>
      <c r="H115" s="226"/>
      <c r="I115" s="130">
        <v>108</v>
      </c>
      <c r="J115" s="131">
        <v>0</v>
      </c>
      <c r="K115" s="131">
        <v>0</v>
      </c>
    </row>
    <row r="116" spans="1:11" ht="12.75">
      <c r="A116" s="227" t="s">
        <v>310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231" t="s">
        <v>186</v>
      </c>
      <c r="B117" s="232"/>
      <c r="C117" s="232"/>
      <c r="D117" s="232"/>
      <c r="E117" s="232"/>
      <c r="F117" s="232"/>
      <c r="G117" s="232"/>
      <c r="H117" s="232"/>
      <c r="I117" s="233"/>
      <c r="J117" s="233"/>
      <c r="K117" s="234"/>
    </row>
    <row r="118" spans="1:11" ht="12.75">
      <c r="A118" s="235" t="s">
        <v>8</v>
      </c>
      <c r="B118" s="236"/>
      <c r="C118" s="236"/>
      <c r="D118" s="236"/>
      <c r="E118" s="236"/>
      <c r="F118" s="236"/>
      <c r="G118" s="236"/>
      <c r="H118" s="237"/>
      <c r="I118" s="1">
        <v>109</v>
      </c>
      <c r="J118" s="133"/>
      <c r="K118" s="133"/>
    </row>
    <row r="119" spans="1:11" ht="12.75">
      <c r="A119" s="244" t="s">
        <v>9</v>
      </c>
      <c r="B119" s="245"/>
      <c r="C119" s="245"/>
      <c r="D119" s="245"/>
      <c r="E119" s="245"/>
      <c r="F119" s="245"/>
      <c r="G119" s="245"/>
      <c r="H119" s="246"/>
      <c r="I119" s="3">
        <v>110</v>
      </c>
      <c r="J119" s="6"/>
      <c r="K119" s="6"/>
    </row>
    <row r="120" spans="1:11" ht="12.75">
      <c r="A120" s="247" t="s">
        <v>311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allowBlank="1" sqref="A1:I65536 K81:K65536 J49:J56 J72 J40:J42 L1:IV65536 J86 J89:J90 J100 J27:J35 J102:J65536 K71:K79 J1:K26 J61:J69 K27:K69 J81:J82 J84 J92:J93 J77:J79"/>
    <dataValidation type="whole" operator="greaterThanOrEqual" allowBlank="1" showInputMessage="1" showErrorMessage="1" errorTitle="Pogrešan unos" error="Mogu se unijeti samo cjelobrojne pozitivne vrijednosti." sqref="J80:K80 J94:J99 J87:J88 J36:J39 J83 J43:J48 J73:J76 J70:K70 J57:J60 J91 J101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1"/>
  <sheetViews>
    <sheetView zoomScaleSheetLayoutView="110" zoomScalePageLayoutView="0" workbookViewId="0" topLeftCell="A1">
      <pane xSplit="9" ySplit="6" topLeftCell="J4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55" sqref="A55:M67"/>
    </sheetView>
  </sheetViews>
  <sheetFormatPr defaultColWidth="9.140625" defaultRowHeight="12.75"/>
  <cols>
    <col min="1" max="7" width="9.140625" style="47" customWidth="1"/>
    <col min="8" max="8" width="2.28125" style="47" customWidth="1"/>
    <col min="9" max="9" width="8.00390625" style="47" customWidth="1"/>
    <col min="10" max="10" width="12.421875" style="47" customWidth="1"/>
    <col min="11" max="11" width="12.57421875" style="47" customWidth="1"/>
    <col min="12" max="13" width="12.00390625" style="47" customWidth="1"/>
    <col min="14" max="15" width="9.140625" style="47" customWidth="1"/>
    <col min="16" max="16" width="0" style="47" hidden="1" customWidth="1"/>
    <col min="17" max="17" width="10.8515625" style="47" hidden="1" customWidth="1"/>
    <col min="18" max="18" width="9.57421875" style="47" hidden="1" customWidth="1"/>
    <col min="19" max="19" width="10.8515625" style="47" hidden="1" customWidth="1"/>
    <col min="20" max="20" width="9.57421875" style="47" hidden="1" customWidth="1"/>
    <col min="21" max="21" width="0" style="47" hidden="1" customWidth="1"/>
    <col min="22" max="22" width="11.140625" style="47" hidden="1" customWidth="1"/>
    <col min="23" max="27" width="0" style="47" hidden="1" customWidth="1"/>
    <col min="28" max="16384" width="9.140625" style="47" customWidth="1"/>
  </cols>
  <sheetData>
    <row r="1" spans="1:13" ht="12.75" customHeight="1">
      <c r="A1" s="261" t="s">
        <v>154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2.75" customHeight="1">
      <c r="A2" s="270" t="s">
        <v>347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20" ht="12.75" customHeight="1" thickBot="1">
      <c r="A3" s="287" t="s">
        <v>338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P3"/>
      <c r="Q3"/>
      <c r="R3"/>
      <c r="S3"/>
      <c r="T3"/>
    </row>
    <row r="4" spans="1:20" ht="24" thickBot="1">
      <c r="A4" s="288" t="s">
        <v>59</v>
      </c>
      <c r="B4" s="288"/>
      <c r="C4" s="288"/>
      <c r="D4" s="288"/>
      <c r="E4" s="288"/>
      <c r="F4" s="288"/>
      <c r="G4" s="288"/>
      <c r="H4" s="288"/>
      <c r="I4" s="52" t="s">
        <v>279</v>
      </c>
      <c r="J4" s="289" t="s">
        <v>319</v>
      </c>
      <c r="K4" s="289"/>
      <c r="L4" s="289" t="s">
        <v>320</v>
      </c>
      <c r="M4" s="289"/>
      <c r="P4" s="148" t="s">
        <v>341</v>
      </c>
      <c r="Q4" s="285" t="s">
        <v>319</v>
      </c>
      <c r="R4" s="286"/>
      <c r="S4" s="285" t="s">
        <v>320</v>
      </c>
      <c r="T4" s="286"/>
    </row>
    <row r="5" spans="1:20" ht="13.5" thickBot="1">
      <c r="A5" s="288"/>
      <c r="B5" s="288"/>
      <c r="C5" s="288"/>
      <c r="D5" s="288"/>
      <c r="E5" s="288"/>
      <c r="F5" s="288"/>
      <c r="G5" s="288"/>
      <c r="H5" s="288"/>
      <c r="I5" s="52"/>
      <c r="J5" s="54" t="s">
        <v>314</v>
      </c>
      <c r="K5" s="54" t="s">
        <v>315</v>
      </c>
      <c r="L5" s="54" t="s">
        <v>314</v>
      </c>
      <c r="M5" s="54" t="s">
        <v>315</v>
      </c>
      <c r="P5" s="149"/>
      <c r="Q5" s="148" t="s">
        <v>314</v>
      </c>
      <c r="R5" s="148" t="s">
        <v>315</v>
      </c>
      <c r="S5" s="148" t="s">
        <v>314</v>
      </c>
      <c r="T5" s="148" t="s">
        <v>315</v>
      </c>
    </row>
    <row r="6" spans="1:20" ht="13.5" thickBot="1">
      <c r="A6" s="289">
        <v>1</v>
      </c>
      <c r="B6" s="289"/>
      <c r="C6" s="289"/>
      <c r="D6" s="289"/>
      <c r="E6" s="289"/>
      <c r="F6" s="289"/>
      <c r="G6" s="289"/>
      <c r="H6" s="289"/>
      <c r="I6" s="57">
        <v>2</v>
      </c>
      <c r="J6" s="54">
        <v>3</v>
      </c>
      <c r="K6" s="54">
        <v>4</v>
      </c>
      <c r="L6" s="54">
        <v>5</v>
      </c>
      <c r="M6" s="54">
        <v>6</v>
      </c>
      <c r="P6" s="150" t="s">
        <v>342</v>
      </c>
      <c r="Q6" s="150" t="s">
        <v>283</v>
      </c>
      <c r="R6" s="150" t="s">
        <v>284</v>
      </c>
      <c r="S6" s="150" t="s">
        <v>343</v>
      </c>
      <c r="T6" s="150" t="s">
        <v>344</v>
      </c>
    </row>
    <row r="7" spans="1:25" ht="13.5" thickBot="1">
      <c r="A7" s="231" t="s">
        <v>26</v>
      </c>
      <c r="B7" s="232"/>
      <c r="C7" s="232"/>
      <c r="D7" s="232"/>
      <c r="E7" s="232"/>
      <c r="F7" s="232"/>
      <c r="G7" s="232"/>
      <c r="H7" s="252"/>
      <c r="I7" s="2">
        <v>111</v>
      </c>
      <c r="J7" s="132">
        <f>SUM(J8:J9)</f>
        <v>1561184454</v>
      </c>
      <c r="K7" s="132">
        <f>SUM(K8:K9)</f>
        <v>387947232</v>
      </c>
      <c r="L7" s="132">
        <f>SUM(L8:L9)</f>
        <v>1759027114</v>
      </c>
      <c r="M7" s="132">
        <f>SUM(M8:M9)</f>
        <v>372260950</v>
      </c>
      <c r="P7" s="151">
        <v>111</v>
      </c>
      <c r="Q7" s="154">
        <v>1173237222</v>
      </c>
      <c r="R7" s="154">
        <v>540360381</v>
      </c>
      <c r="S7" s="154">
        <v>1386766164</v>
      </c>
      <c r="T7" s="154">
        <v>551771286</v>
      </c>
      <c r="V7" s="153">
        <f>J7-Q7</f>
        <v>387947232</v>
      </c>
      <c r="W7" s="153">
        <f>K7-R7</f>
        <v>-152413149</v>
      </c>
      <c r="X7" s="153">
        <f>L7-S7</f>
        <v>372260950</v>
      </c>
      <c r="Y7" s="153">
        <f>M7-T7</f>
        <v>-179510336</v>
      </c>
    </row>
    <row r="8" spans="1:25" ht="13.5" thickBot="1">
      <c r="A8" s="238" t="s">
        <v>152</v>
      </c>
      <c r="B8" s="239"/>
      <c r="C8" s="239"/>
      <c r="D8" s="239"/>
      <c r="E8" s="239"/>
      <c r="F8" s="239"/>
      <c r="G8" s="239"/>
      <c r="H8" s="240"/>
      <c r="I8" s="1">
        <v>112</v>
      </c>
      <c r="J8" s="133">
        <v>1435118088</v>
      </c>
      <c r="K8" s="133">
        <f>J8-1089704937</f>
        <v>345413151</v>
      </c>
      <c r="L8" s="133">
        <v>1491449517</v>
      </c>
      <c r="M8" s="133">
        <f>L8-1170117067</f>
        <v>321332450</v>
      </c>
      <c r="P8" s="151">
        <v>112</v>
      </c>
      <c r="Q8" s="154">
        <v>1089704937</v>
      </c>
      <c r="R8" s="154">
        <v>517197520</v>
      </c>
      <c r="S8" s="154">
        <v>1170117067</v>
      </c>
      <c r="T8" s="154">
        <v>534640822</v>
      </c>
      <c r="V8" s="153">
        <f aca="true" t="shared" si="0" ref="V8:V13">J8-Q8</f>
        <v>345413151</v>
      </c>
      <c r="W8" s="153">
        <f aca="true" t="shared" si="1" ref="W8:W13">K8-R8</f>
        <v>-171784369</v>
      </c>
      <c r="X8" s="153">
        <f aca="true" t="shared" si="2" ref="X8:X13">L8-S8</f>
        <v>321332450</v>
      </c>
      <c r="Y8" s="153">
        <f aca="true" t="shared" si="3" ref="Y8:Y13">M8-T8</f>
        <v>-213308372</v>
      </c>
    </row>
    <row r="9" spans="1:25" ht="13.5" thickBot="1">
      <c r="A9" s="238" t="s">
        <v>103</v>
      </c>
      <c r="B9" s="239"/>
      <c r="C9" s="239"/>
      <c r="D9" s="239"/>
      <c r="E9" s="239"/>
      <c r="F9" s="239"/>
      <c r="G9" s="239"/>
      <c r="H9" s="240"/>
      <c r="I9" s="1">
        <v>113</v>
      </c>
      <c r="J9" s="133">
        <v>126066366</v>
      </c>
      <c r="K9" s="133">
        <f>J9-83532285</f>
        <v>42534081</v>
      </c>
      <c r="L9" s="133">
        <v>267577597</v>
      </c>
      <c r="M9" s="133">
        <f>L9-216649097</f>
        <v>50928500</v>
      </c>
      <c r="P9" s="151">
        <v>113</v>
      </c>
      <c r="Q9" s="154">
        <v>83532285</v>
      </c>
      <c r="R9" s="154">
        <v>23162861</v>
      </c>
      <c r="S9" s="154">
        <v>216649097</v>
      </c>
      <c r="T9" s="154">
        <v>17130464</v>
      </c>
      <c r="V9" s="153">
        <f t="shared" si="0"/>
        <v>42534081</v>
      </c>
      <c r="W9" s="153">
        <f t="shared" si="1"/>
        <v>19371220</v>
      </c>
      <c r="X9" s="153">
        <f t="shared" si="2"/>
        <v>50928500</v>
      </c>
      <c r="Y9" s="153">
        <f t="shared" si="3"/>
        <v>33798036</v>
      </c>
    </row>
    <row r="10" spans="1:25" ht="13.5" thickBot="1">
      <c r="A10" s="238" t="s">
        <v>12</v>
      </c>
      <c r="B10" s="239"/>
      <c r="C10" s="239"/>
      <c r="D10" s="239"/>
      <c r="E10" s="239"/>
      <c r="F10" s="239"/>
      <c r="G10" s="239"/>
      <c r="H10" s="240"/>
      <c r="I10" s="1">
        <v>114</v>
      </c>
      <c r="J10" s="134">
        <f>J11+J12+J16+J20+J21+J22+J25+J26</f>
        <v>1553414597</v>
      </c>
      <c r="K10" s="134">
        <f>K11+K12+K16+K20+K21+K22+K25+K26</f>
        <v>387376258</v>
      </c>
      <c r="L10" s="134">
        <f>L11+L12+L16+L20+L21+L22+L25+L26</f>
        <v>1715556469</v>
      </c>
      <c r="M10" s="134">
        <f>M11+M12+M16+M20+M21+M22+M25+M26</f>
        <v>438210528</v>
      </c>
      <c r="P10" s="151">
        <v>114</v>
      </c>
      <c r="Q10" s="154">
        <v>1166038339</v>
      </c>
      <c r="R10" s="154">
        <v>449549885</v>
      </c>
      <c r="S10" s="154">
        <v>1277345941</v>
      </c>
      <c r="T10" s="154">
        <v>491983564</v>
      </c>
      <c r="V10" s="153">
        <f t="shared" si="0"/>
        <v>387376258</v>
      </c>
      <c r="W10" s="153">
        <f t="shared" si="1"/>
        <v>-62173627</v>
      </c>
      <c r="X10" s="153">
        <f t="shared" si="2"/>
        <v>438210528</v>
      </c>
      <c r="Y10" s="153">
        <f t="shared" si="3"/>
        <v>-53773036</v>
      </c>
    </row>
    <row r="11" spans="1:25" ht="13.5" thickBot="1">
      <c r="A11" s="238" t="s">
        <v>104</v>
      </c>
      <c r="B11" s="239"/>
      <c r="C11" s="239"/>
      <c r="D11" s="239"/>
      <c r="E11" s="239"/>
      <c r="F11" s="239"/>
      <c r="G11" s="239"/>
      <c r="H11" s="240"/>
      <c r="I11" s="1">
        <v>115</v>
      </c>
      <c r="J11" s="133">
        <v>0</v>
      </c>
      <c r="K11" s="133">
        <v>0</v>
      </c>
      <c r="L11" s="133">
        <v>0</v>
      </c>
      <c r="M11" s="133">
        <v>0</v>
      </c>
      <c r="P11" s="151">
        <v>115</v>
      </c>
      <c r="Q11" s="155">
        <v>0</v>
      </c>
      <c r="R11" s="155">
        <v>0</v>
      </c>
      <c r="S11" s="155">
        <v>0</v>
      </c>
      <c r="T11" s="155">
        <v>0</v>
      </c>
      <c r="V11" s="153">
        <f t="shared" si="0"/>
        <v>0</v>
      </c>
      <c r="W11" s="153">
        <f t="shared" si="1"/>
        <v>0</v>
      </c>
      <c r="X11" s="153">
        <f t="shared" si="2"/>
        <v>0</v>
      </c>
      <c r="Y11" s="153">
        <f t="shared" si="3"/>
        <v>0</v>
      </c>
    </row>
    <row r="12" spans="1:25" ht="13.5" thickBot="1">
      <c r="A12" s="238" t="s">
        <v>22</v>
      </c>
      <c r="B12" s="239"/>
      <c r="C12" s="239"/>
      <c r="D12" s="239"/>
      <c r="E12" s="239"/>
      <c r="F12" s="239"/>
      <c r="G12" s="239"/>
      <c r="H12" s="240"/>
      <c r="I12" s="1">
        <v>116</v>
      </c>
      <c r="J12" s="134">
        <f>SUM(J13:J15)</f>
        <v>1148943245</v>
      </c>
      <c r="K12" s="134">
        <f>SUM(K13:K15)</f>
        <v>275885361</v>
      </c>
      <c r="L12" s="134">
        <f>SUM(L13:L15)</f>
        <v>1240107727</v>
      </c>
      <c r="M12" s="134">
        <f>SUM(M13:M15)</f>
        <v>278609190</v>
      </c>
      <c r="P12" s="151">
        <v>116</v>
      </c>
      <c r="Q12" s="154">
        <v>873057884</v>
      </c>
      <c r="R12" s="154">
        <v>345690211</v>
      </c>
      <c r="S12" s="154">
        <v>961498537</v>
      </c>
      <c r="T12" s="154">
        <v>381105230</v>
      </c>
      <c r="V12" s="153">
        <f t="shared" si="0"/>
        <v>275885361</v>
      </c>
      <c r="W12" s="153">
        <f t="shared" si="1"/>
        <v>-69804850</v>
      </c>
      <c r="X12" s="153">
        <f t="shared" si="2"/>
        <v>278609190</v>
      </c>
      <c r="Y12" s="153">
        <f t="shared" si="3"/>
        <v>-102496040</v>
      </c>
    </row>
    <row r="13" spans="1:25" ht="13.5" thickBot="1">
      <c r="A13" s="235" t="s">
        <v>146</v>
      </c>
      <c r="B13" s="236"/>
      <c r="C13" s="236"/>
      <c r="D13" s="236"/>
      <c r="E13" s="236"/>
      <c r="F13" s="236"/>
      <c r="G13" s="236"/>
      <c r="H13" s="237"/>
      <c r="I13" s="1">
        <v>117</v>
      </c>
      <c r="J13" s="133">
        <v>261058748</v>
      </c>
      <c r="K13" s="133">
        <f>J13-197661837</f>
        <v>63396911</v>
      </c>
      <c r="L13" s="133">
        <v>298732087</v>
      </c>
      <c r="M13" s="133">
        <f>L13-226594583</f>
        <v>72137504</v>
      </c>
      <c r="P13" s="151">
        <v>117</v>
      </c>
      <c r="Q13" s="154">
        <v>197661837</v>
      </c>
      <c r="R13" s="154">
        <v>85308173</v>
      </c>
      <c r="S13" s="154">
        <v>226594583</v>
      </c>
      <c r="T13" s="154">
        <v>91456670</v>
      </c>
      <c r="V13" s="153">
        <f t="shared" si="0"/>
        <v>63396911</v>
      </c>
      <c r="W13" s="153">
        <f t="shared" si="1"/>
        <v>-21911262</v>
      </c>
      <c r="X13" s="153">
        <f t="shared" si="2"/>
        <v>72137504</v>
      </c>
      <c r="Y13" s="153">
        <f t="shared" si="3"/>
        <v>-19319166</v>
      </c>
    </row>
    <row r="14" spans="1:25" ht="13.5" thickBot="1">
      <c r="A14" s="235" t="s">
        <v>147</v>
      </c>
      <c r="B14" s="236"/>
      <c r="C14" s="236"/>
      <c r="D14" s="236"/>
      <c r="E14" s="236"/>
      <c r="F14" s="236"/>
      <c r="G14" s="236"/>
      <c r="H14" s="237"/>
      <c r="I14" s="1">
        <v>118</v>
      </c>
      <c r="J14" s="133">
        <v>0</v>
      </c>
      <c r="K14" s="133">
        <f>J14</f>
        <v>0</v>
      </c>
      <c r="L14" s="133">
        <v>0</v>
      </c>
      <c r="M14" s="133">
        <f>L14</f>
        <v>0</v>
      </c>
      <c r="P14" s="151"/>
      <c r="Q14" s="154"/>
      <c r="R14" s="154"/>
      <c r="S14" s="154"/>
      <c r="T14" s="154"/>
      <c r="V14" s="153"/>
      <c r="W14" s="153"/>
      <c r="X14" s="153"/>
      <c r="Y14" s="153"/>
    </row>
    <row r="15" spans="1:25" ht="13.5" thickBot="1">
      <c r="A15" s="235" t="s">
        <v>61</v>
      </c>
      <c r="B15" s="236"/>
      <c r="C15" s="236"/>
      <c r="D15" s="236"/>
      <c r="E15" s="236"/>
      <c r="F15" s="236"/>
      <c r="G15" s="236"/>
      <c r="H15" s="237"/>
      <c r="I15" s="1">
        <v>119</v>
      </c>
      <c r="J15" s="133">
        <v>887884497</v>
      </c>
      <c r="K15" s="133">
        <f>J15-675396047</f>
        <v>212488450</v>
      </c>
      <c r="L15" s="133">
        <v>941375640</v>
      </c>
      <c r="M15" s="133">
        <f>L15-734903954</f>
        <v>206471686</v>
      </c>
      <c r="P15" s="151"/>
      <c r="Q15" s="154">
        <v>675396047</v>
      </c>
      <c r="R15" s="154">
        <v>260382038</v>
      </c>
      <c r="S15" s="154">
        <v>734903954</v>
      </c>
      <c r="T15" s="154">
        <v>289648561</v>
      </c>
      <c r="V15" s="153">
        <f>J15-Q15</f>
        <v>212488450</v>
      </c>
      <c r="W15" s="153">
        <f>K15-R15</f>
        <v>-47893588</v>
      </c>
      <c r="X15" s="153">
        <f>L15-S15</f>
        <v>206471686</v>
      </c>
      <c r="Y15" s="153">
        <f>M15-T15</f>
        <v>-83176875</v>
      </c>
    </row>
    <row r="16" spans="1:25" ht="13.5" thickBot="1">
      <c r="A16" s="238" t="s">
        <v>23</v>
      </c>
      <c r="B16" s="239"/>
      <c r="C16" s="239"/>
      <c r="D16" s="239"/>
      <c r="E16" s="239"/>
      <c r="F16" s="239"/>
      <c r="G16" s="239"/>
      <c r="H16" s="240"/>
      <c r="I16" s="1">
        <v>120</v>
      </c>
      <c r="J16" s="134">
        <f>SUM(J17:J19)</f>
        <v>219537025</v>
      </c>
      <c r="K16" s="134">
        <f>SUM(K17:K19)</f>
        <v>54798910</v>
      </c>
      <c r="L16" s="134">
        <f>SUM(L17:L19)</f>
        <v>217264632</v>
      </c>
      <c r="M16" s="134">
        <f>SUM(M17:M19)</f>
        <v>53940962</v>
      </c>
      <c r="P16" s="151">
        <v>119</v>
      </c>
      <c r="Q16" s="154">
        <v>164736932</v>
      </c>
      <c r="R16" s="154">
        <v>57617456</v>
      </c>
      <c r="S16" s="154">
        <v>163323670</v>
      </c>
      <c r="T16" s="154">
        <v>56515472</v>
      </c>
      <c r="V16" s="153">
        <f aca="true" t="shared" si="4" ref="V16:V25">J16-Q16</f>
        <v>54800093</v>
      </c>
      <c r="W16" s="153">
        <f aca="true" t="shared" si="5" ref="W16:W25">K16-R16</f>
        <v>-2818546</v>
      </c>
      <c r="X16" s="153">
        <f aca="true" t="shared" si="6" ref="X16:X25">L16-S16</f>
        <v>53940962</v>
      </c>
      <c r="Y16" s="153">
        <f aca="true" t="shared" si="7" ref="Y16:Y25">M16-T16</f>
        <v>-2574510</v>
      </c>
    </row>
    <row r="17" spans="1:25" ht="13.5" thickBot="1">
      <c r="A17" s="235" t="s">
        <v>62</v>
      </c>
      <c r="B17" s="236"/>
      <c r="C17" s="236"/>
      <c r="D17" s="236"/>
      <c r="E17" s="236"/>
      <c r="F17" s="236"/>
      <c r="G17" s="236"/>
      <c r="H17" s="237"/>
      <c r="I17" s="1">
        <v>121</v>
      </c>
      <c r="J17" s="133">
        <v>114934586</v>
      </c>
      <c r="K17" s="133">
        <f>J17-85731458</f>
        <v>29203128</v>
      </c>
      <c r="L17" s="133">
        <v>117608721</v>
      </c>
      <c r="M17" s="133">
        <f>L17-88237072</f>
        <v>29371649</v>
      </c>
      <c r="P17" s="151">
        <v>120</v>
      </c>
      <c r="Q17" s="154">
        <v>85730275</v>
      </c>
      <c r="R17" s="154">
        <v>29871957</v>
      </c>
      <c r="S17" s="154">
        <v>88237072</v>
      </c>
      <c r="T17" s="154">
        <v>30378078</v>
      </c>
      <c r="V17" s="153">
        <f t="shared" si="4"/>
        <v>29204311</v>
      </c>
      <c r="W17" s="153">
        <f t="shared" si="5"/>
        <v>-668829</v>
      </c>
      <c r="X17" s="153">
        <f t="shared" si="6"/>
        <v>29371649</v>
      </c>
      <c r="Y17" s="153">
        <f t="shared" si="7"/>
        <v>-1006429</v>
      </c>
    </row>
    <row r="18" spans="1:25" ht="13.5" thickBot="1">
      <c r="A18" s="235" t="s">
        <v>63</v>
      </c>
      <c r="B18" s="236"/>
      <c r="C18" s="236"/>
      <c r="D18" s="236"/>
      <c r="E18" s="236"/>
      <c r="F18" s="236"/>
      <c r="G18" s="236"/>
      <c r="H18" s="237"/>
      <c r="I18" s="1">
        <v>122</v>
      </c>
      <c r="J18" s="133">
        <v>63902222</v>
      </c>
      <c r="K18" s="133">
        <f>J18-48427941</f>
        <v>15474281</v>
      </c>
      <c r="L18" s="133">
        <v>59461793</v>
      </c>
      <c r="M18" s="133">
        <f>L18-44801181</f>
        <v>14660612</v>
      </c>
      <c r="P18" s="151">
        <v>121</v>
      </c>
      <c r="Q18" s="154">
        <v>48427941</v>
      </c>
      <c r="R18" s="154">
        <v>17061867</v>
      </c>
      <c r="S18" s="154">
        <v>44801181</v>
      </c>
      <c r="T18" s="154">
        <v>15680252</v>
      </c>
      <c r="V18" s="153">
        <f t="shared" si="4"/>
        <v>15474281</v>
      </c>
      <c r="W18" s="153">
        <f t="shared" si="5"/>
        <v>-1587586</v>
      </c>
      <c r="X18" s="153">
        <f t="shared" si="6"/>
        <v>14660612</v>
      </c>
      <c r="Y18" s="153">
        <f t="shared" si="7"/>
        <v>-1019640</v>
      </c>
    </row>
    <row r="19" spans="1:25" ht="13.5" thickBot="1">
      <c r="A19" s="235" t="s">
        <v>64</v>
      </c>
      <c r="B19" s="236"/>
      <c r="C19" s="236"/>
      <c r="D19" s="236"/>
      <c r="E19" s="236"/>
      <c r="F19" s="236"/>
      <c r="G19" s="236"/>
      <c r="H19" s="237"/>
      <c r="I19" s="1">
        <v>123</v>
      </c>
      <c r="J19" s="133">
        <v>40700217</v>
      </c>
      <c r="K19" s="133">
        <f>J19-30578716</f>
        <v>10121501</v>
      </c>
      <c r="L19" s="133">
        <v>40194118</v>
      </c>
      <c r="M19" s="133">
        <f>L19-30285417</f>
        <v>9908701</v>
      </c>
      <c r="P19" s="151">
        <v>122</v>
      </c>
      <c r="Q19" s="154">
        <v>30578716</v>
      </c>
      <c r="R19" s="154">
        <v>10683631</v>
      </c>
      <c r="S19" s="154">
        <v>30285417</v>
      </c>
      <c r="T19" s="154">
        <v>10457142</v>
      </c>
      <c r="V19" s="153">
        <f t="shared" si="4"/>
        <v>10121501</v>
      </c>
      <c r="W19" s="153">
        <f t="shared" si="5"/>
        <v>-562130</v>
      </c>
      <c r="X19" s="153">
        <f t="shared" si="6"/>
        <v>9908701</v>
      </c>
      <c r="Y19" s="153">
        <f t="shared" si="7"/>
        <v>-548441</v>
      </c>
    </row>
    <row r="20" spans="1:25" ht="13.5" thickBot="1">
      <c r="A20" s="238" t="s">
        <v>105</v>
      </c>
      <c r="B20" s="239"/>
      <c r="C20" s="239"/>
      <c r="D20" s="239"/>
      <c r="E20" s="239"/>
      <c r="F20" s="239"/>
      <c r="G20" s="239"/>
      <c r="H20" s="240"/>
      <c r="I20" s="1">
        <v>124</v>
      </c>
      <c r="J20" s="133">
        <v>85450364</v>
      </c>
      <c r="K20" s="133">
        <f>J20-61918764</f>
        <v>23531600</v>
      </c>
      <c r="L20" s="133">
        <v>94507753</v>
      </c>
      <c r="M20" s="133">
        <f>L20-80109431</f>
        <v>14398322</v>
      </c>
      <c r="P20" s="151">
        <v>123</v>
      </c>
      <c r="Q20" s="154">
        <v>61918764</v>
      </c>
      <c r="R20" s="154">
        <v>22598213</v>
      </c>
      <c r="S20" s="154">
        <v>80109431</v>
      </c>
      <c r="T20" s="154">
        <v>27781009</v>
      </c>
      <c r="V20" s="153">
        <f t="shared" si="4"/>
        <v>23531600</v>
      </c>
      <c r="W20" s="153">
        <f t="shared" si="5"/>
        <v>933387</v>
      </c>
      <c r="X20" s="153">
        <f t="shared" si="6"/>
        <v>14398322</v>
      </c>
      <c r="Y20" s="153">
        <f t="shared" si="7"/>
        <v>-13382687</v>
      </c>
    </row>
    <row r="21" spans="1:25" ht="13.5" thickBot="1">
      <c r="A21" s="238" t="s">
        <v>106</v>
      </c>
      <c r="B21" s="239"/>
      <c r="C21" s="239"/>
      <c r="D21" s="239"/>
      <c r="E21" s="239"/>
      <c r="F21" s="239"/>
      <c r="G21" s="239"/>
      <c r="H21" s="240"/>
      <c r="I21" s="1">
        <v>125</v>
      </c>
      <c r="J21" s="133">
        <v>91089014</v>
      </c>
      <c r="K21" s="133">
        <f>J21-63283707</f>
        <v>27805307</v>
      </c>
      <c r="L21" s="133">
        <v>93546486</v>
      </c>
      <c r="M21" s="133">
        <f>L21-67723173</f>
        <v>25823313</v>
      </c>
      <c r="P21" s="151">
        <v>124</v>
      </c>
      <c r="Q21" s="154">
        <v>63284891</v>
      </c>
      <c r="R21" s="154">
        <v>23533166</v>
      </c>
      <c r="S21" s="154">
        <v>67723173</v>
      </c>
      <c r="T21" s="154">
        <v>25879171</v>
      </c>
      <c r="V21" s="153">
        <f t="shared" si="4"/>
        <v>27804123</v>
      </c>
      <c r="W21" s="153">
        <f t="shared" si="5"/>
        <v>4272141</v>
      </c>
      <c r="X21" s="153">
        <f t="shared" si="6"/>
        <v>25823313</v>
      </c>
      <c r="Y21" s="153">
        <f t="shared" si="7"/>
        <v>-55858</v>
      </c>
    </row>
    <row r="22" spans="1:25" ht="13.5" thickBot="1">
      <c r="A22" s="238" t="s">
        <v>24</v>
      </c>
      <c r="B22" s="239"/>
      <c r="C22" s="239"/>
      <c r="D22" s="239"/>
      <c r="E22" s="239"/>
      <c r="F22" s="239"/>
      <c r="G22" s="239"/>
      <c r="H22" s="240"/>
      <c r="I22" s="1">
        <v>126</v>
      </c>
      <c r="J22" s="135">
        <f>SUM(J23:J24)</f>
        <v>73127</v>
      </c>
      <c r="K22" s="135">
        <f>SUM(K23:K24)</f>
        <v>47749</v>
      </c>
      <c r="L22" s="135">
        <f>SUM(L23:L24)</f>
        <v>59306828</v>
      </c>
      <c r="M22" s="135">
        <f>SUM(M23:M24)</f>
        <v>58573027</v>
      </c>
      <c r="P22" s="151">
        <v>125</v>
      </c>
      <c r="Q22" s="154">
        <v>25378</v>
      </c>
      <c r="R22" s="155">
        <v>0</v>
      </c>
      <c r="S22" s="154">
        <v>733801</v>
      </c>
      <c r="T22" s="155">
        <v>0</v>
      </c>
      <c r="V22" s="153">
        <f t="shared" si="4"/>
        <v>47749</v>
      </c>
      <c r="W22" s="153">
        <f t="shared" si="5"/>
        <v>47749</v>
      </c>
      <c r="X22" s="153">
        <f t="shared" si="6"/>
        <v>58573027</v>
      </c>
      <c r="Y22" s="153">
        <f t="shared" si="7"/>
        <v>58573027</v>
      </c>
    </row>
    <row r="23" spans="1:25" ht="13.5" thickBot="1">
      <c r="A23" s="235" t="s">
        <v>137</v>
      </c>
      <c r="B23" s="236"/>
      <c r="C23" s="236"/>
      <c r="D23" s="236"/>
      <c r="E23" s="236"/>
      <c r="F23" s="236"/>
      <c r="G23" s="236"/>
      <c r="H23" s="237"/>
      <c r="I23" s="1">
        <v>127</v>
      </c>
      <c r="J23" s="133">
        <v>0</v>
      </c>
      <c r="K23" s="133">
        <v>0</v>
      </c>
      <c r="L23" s="133">
        <v>58468127</v>
      </c>
      <c r="M23" s="133">
        <f>L23-0</f>
        <v>58468127</v>
      </c>
      <c r="P23" s="151">
        <v>126</v>
      </c>
      <c r="Q23" s="155">
        <v>0</v>
      </c>
      <c r="R23" s="155">
        <v>0</v>
      </c>
      <c r="S23" s="155">
        <v>0</v>
      </c>
      <c r="T23" s="155">
        <v>0</v>
      </c>
      <c r="V23" s="153">
        <f t="shared" si="4"/>
        <v>0</v>
      </c>
      <c r="W23" s="153">
        <f t="shared" si="5"/>
        <v>0</v>
      </c>
      <c r="X23" s="153">
        <f t="shared" si="6"/>
        <v>58468127</v>
      </c>
      <c r="Y23" s="153">
        <f t="shared" si="7"/>
        <v>58468127</v>
      </c>
    </row>
    <row r="24" spans="1:25" ht="13.5" thickBot="1">
      <c r="A24" s="235" t="s">
        <v>138</v>
      </c>
      <c r="B24" s="236"/>
      <c r="C24" s="236"/>
      <c r="D24" s="236"/>
      <c r="E24" s="236"/>
      <c r="F24" s="236"/>
      <c r="G24" s="236"/>
      <c r="H24" s="237"/>
      <c r="I24" s="1">
        <v>128</v>
      </c>
      <c r="J24" s="133">
        <v>73127</v>
      </c>
      <c r="K24" s="133">
        <f>J24-25378</f>
        <v>47749</v>
      </c>
      <c r="L24" s="133">
        <v>838701</v>
      </c>
      <c r="M24" s="133">
        <f>L24-733801</f>
        <v>104900</v>
      </c>
      <c r="P24" s="151">
        <v>127</v>
      </c>
      <c r="Q24" s="154">
        <v>25378</v>
      </c>
      <c r="R24" s="155">
        <v>0</v>
      </c>
      <c r="S24" s="154">
        <v>733801</v>
      </c>
      <c r="T24" s="155">
        <v>0</v>
      </c>
      <c r="V24" s="153">
        <f t="shared" si="4"/>
        <v>47749</v>
      </c>
      <c r="W24" s="153">
        <f t="shared" si="5"/>
        <v>47749</v>
      </c>
      <c r="X24" s="153">
        <f t="shared" si="6"/>
        <v>104900</v>
      </c>
      <c r="Y24" s="153">
        <f t="shared" si="7"/>
        <v>104900</v>
      </c>
    </row>
    <row r="25" spans="1:25" ht="13.5" thickBot="1">
      <c r="A25" s="238" t="s">
        <v>107</v>
      </c>
      <c r="B25" s="239"/>
      <c r="C25" s="239"/>
      <c r="D25" s="239"/>
      <c r="E25" s="239"/>
      <c r="F25" s="239"/>
      <c r="G25" s="239"/>
      <c r="H25" s="240"/>
      <c r="I25" s="1">
        <v>129</v>
      </c>
      <c r="J25" s="133">
        <v>617699</v>
      </c>
      <c r="K25" s="133">
        <f>J25</f>
        <v>617699</v>
      </c>
      <c r="L25" s="133">
        <v>1730202</v>
      </c>
      <c r="M25" s="133">
        <f>L25</f>
        <v>1730202</v>
      </c>
      <c r="P25" s="151">
        <v>128</v>
      </c>
      <c r="Q25" s="155">
        <v>0</v>
      </c>
      <c r="R25" s="155">
        <v>0</v>
      </c>
      <c r="S25" s="155">
        <v>0</v>
      </c>
      <c r="T25" s="155">
        <v>0</v>
      </c>
      <c r="V25" s="153">
        <f t="shared" si="4"/>
        <v>617699</v>
      </c>
      <c r="W25" s="153">
        <f t="shared" si="5"/>
        <v>617699</v>
      </c>
      <c r="X25" s="153">
        <f t="shared" si="6"/>
        <v>1730202</v>
      </c>
      <c r="Y25" s="153">
        <f t="shared" si="7"/>
        <v>1730202</v>
      </c>
    </row>
    <row r="26" spans="1:25" ht="13.5" thickBot="1">
      <c r="A26" s="238" t="s">
        <v>50</v>
      </c>
      <c r="B26" s="239"/>
      <c r="C26" s="239"/>
      <c r="D26" s="239"/>
      <c r="E26" s="239"/>
      <c r="F26" s="239"/>
      <c r="G26" s="239"/>
      <c r="H26" s="240"/>
      <c r="I26" s="1">
        <v>130</v>
      </c>
      <c r="J26" s="133">
        <v>7704123</v>
      </c>
      <c r="K26" s="133">
        <f>J26-3014491</f>
        <v>4689632</v>
      </c>
      <c r="L26" s="133">
        <v>9092841</v>
      </c>
      <c r="M26" s="133">
        <f>L26-3957329</f>
        <v>5135512</v>
      </c>
      <c r="P26" s="151">
        <v>129</v>
      </c>
      <c r="Q26" s="154">
        <v>3014491</v>
      </c>
      <c r="R26" s="154">
        <v>110839</v>
      </c>
      <c r="S26" s="154">
        <v>3957329</v>
      </c>
      <c r="T26" s="154">
        <v>702682</v>
      </c>
      <c r="V26" s="153">
        <f aca="true" t="shared" si="8" ref="V26:V42">J26-Q26</f>
        <v>4689632</v>
      </c>
      <c r="W26" s="153">
        <f aca="true" t="shared" si="9" ref="W26:W42">K26-R26</f>
        <v>4578793</v>
      </c>
      <c r="X26" s="153">
        <f aca="true" t="shared" si="10" ref="X26:X42">L26-S26</f>
        <v>5135512</v>
      </c>
      <c r="Y26" s="153">
        <f aca="true" t="shared" si="11" ref="Y26:Y42">M26-T26</f>
        <v>4432830</v>
      </c>
    </row>
    <row r="27" spans="1:25" ht="13.5" thickBot="1">
      <c r="A27" s="238" t="s">
        <v>213</v>
      </c>
      <c r="B27" s="239"/>
      <c r="C27" s="239"/>
      <c r="D27" s="239"/>
      <c r="E27" s="239"/>
      <c r="F27" s="239"/>
      <c r="G27" s="239"/>
      <c r="H27" s="240"/>
      <c r="I27" s="1">
        <v>131</v>
      </c>
      <c r="J27" s="134">
        <f>SUM(J28:J32)</f>
        <v>48804156</v>
      </c>
      <c r="K27" s="134">
        <f>SUM(K28:K32)</f>
        <v>12834578</v>
      </c>
      <c r="L27" s="134">
        <f>SUM(L28:L32)</f>
        <v>66377230</v>
      </c>
      <c r="M27" s="134">
        <f>SUM(M28:M32)</f>
        <v>7937039</v>
      </c>
      <c r="P27" s="151">
        <v>130</v>
      </c>
      <c r="Q27" s="154">
        <v>35969578</v>
      </c>
      <c r="R27" s="154">
        <v>6663028</v>
      </c>
      <c r="S27" s="154">
        <v>58440191</v>
      </c>
      <c r="T27" s="154">
        <v>13737083</v>
      </c>
      <c r="V27" s="153">
        <f t="shared" si="8"/>
        <v>12834578</v>
      </c>
      <c r="W27" s="153">
        <f t="shared" si="9"/>
        <v>6171550</v>
      </c>
      <c r="X27" s="153">
        <f t="shared" si="10"/>
        <v>7937039</v>
      </c>
      <c r="Y27" s="153">
        <f t="shared" si="11"/>
        <v>-5800044</v>
      </c>
    </row>
    <row r="28" spans="1:25" ht="24" customHeight="1" thickBot="1">
      <c r="A28" s="238" t="s">
        <v>227</v>
      </c>
      <c r="B28" s="239"/>
      <c r="C28" s="239"/>
      <c r="D28" s="239"/>
      <c r="E28" s="239"/>
      <c r="F28" s="239"/>
      <c r="G28" s="239"/>
      <c r="H28" s="240"/>
      <c r="I28" s="1">
        <v>132</v>
      </c>
      <c r="J28" s="133">
        <v>812368</v>
      </c>
      <c r="K28" s="133">
        <f>J28-812368</f>
        <v>0</v>
      </c>
      <c r="L28" s="133">
        <v>0</v>
      </c>
      <c r="M28" s="133">
        <f>L28</f>
        <v>0</v>
      </c>
      <c r="P28" s="151">
        <v>131</v>
      </c>
      <c r="Q28" s="154">
        <v>812368</v>
      </c>
      <c r="R28" s="155">
        <v>0</v>
      </c>
      <c r="S28" s="155">
        <v>0</v>
      </c>
      <c r="T28" s="155">
        <v>0</v>
      </c>
      <c r="V28" s="153">
        <f t="shared" si="8"/>
        <v>0</v>
      </c>
      <c r="W28" s="153">
        <f t="shared" si="9"/>
        <v>0</v>
      </c>
      <c r="X28" s="153">
        <f t="shared" si="10"/>
        <v>0</v>
      </c>
      <c r="Y28" s="153">
        <f t="shared" si="11"/>
        <v>0</v>
      </c>
    </row>
    <row r="29" spans="1:25" ht="24.75" customHeight="1" thickBot="1">
      <c r="A29" s="238" t="s">
        <v>155</v>
      </c>
      <c r="B29" s="239"/>
      <c r="C29" s="239"/>
      <c r="D29" s="239"/>
      <c r="E29" s="239"/>
      <c r="F29" s="239"/>
      <c r="G29" s="239"/>
      <c r="H29" s="240"/>
      <c r="I29" s="1">
        <v>133</v>
      </c>
      <c r="J29" s="133">
        <f>47991788</f>
        <v>47991788</v>
      </c>
      <c r="K29" s="133">
        <f>J29-35157210</f>
        <v>12834578</v>
      </c>
      <c r="L29" s="133">
        <v>66377230</v>
      </c>
      <c r="M29" s="133">
        <f>L29-58440191</f>
        <v>7937039</v>
      </c>
      <c r="P29" s="151">
        <v>132</v>
      </c>
      <c r="Q29" s="154">
        <v>35157210</v>
      </c>
      <c r="R29" s="154">
        <v>6663028</v>
      </c>
      <c r="S29" s="154">
        <v>58440191</v>
      </c>
      <c r="T29" s="154">
        <v>13737083</v>
      </c>
      <c r="V29" s="153">
        <f t="shared" si="8"/>
        <v>12834578</v>
      </c>
      <c r="W29" s="153">
        <f t="shared" si="9"/>
        <v>6171550</v>
      </c>
      <c r="X29" s="153">
        <f t="shared" si="10"/>
        <v>7937039</v>
      </c>
      <c r="Y29" s="153">
        <f t="shared" si="11"/>
        <v>-5800044</v>
      </c>
    </row>
    <row r="30" spans="1:25" ht="13.5" thickBot="1">
      <c r="A30" s="238" t="s">
        <v>139</v>
      </c>
      <c r="B30" s="239"/>
      <c r="C30" s="239"/>
      <c r="D30" s="239"/>
      <c r="E30" s="239"/>
      <c r="F30" s="239"/>
      <c r="G30" s="239"/>
      <c r="H30" s="240"/>
      <c r="I30" s="1">
        <v>134</v>
      </c>
      <c r="J30" s="133">
        <v>0</v>
      </c>
      <c r="K30" s="133">
        <f>J30</f>
        <v>0</v>
      </c>
      <c r="L30" s="133">
        <v>0</v>
      </c>
      <c r="M30" s="133">
        <f>L30</f>
        <v>0</v>
      </c>
      <c r="P30" s="151">
        <v>133</v>
      </c>
      <c r="Q30" s="155">
        <v>0</v>
      </c>
      <c r="R30" s="155">
        <v>0</v>
      </c>
      <c r="S30" s="155">
        <v>0</v>
      </c>
      <c r="T30" s="155">
        <v>0</v>
      </c>
      <c r="V30" s="153">
        <f t="shared" si="8"/>
        <v>0</v>
      </c>
      <c r="W30" s="153">
        <f t="shared" si="9"/>
        <v>0</v>
      </c>
      <c r="X30" s="153">
        <f t="shared" si="10"/>
        <v>0</v>
      </c>
      <c r="Y30" s="153">
        <f t="shared" si="11"/>
        <v>0</v>
      </c>
    </row>
    <row r="31" spans="1:25" ht="13.5" thickBot="1">
      <c r="A31" s="238" t="s">
        <v>223</v>
      </c>
      <c r="B31" s="239"/>
      <c r="C31" s="239"/>
      <c r="D31" s="239"/>
      <c r="E31" s="239"/>
      <c r="F31" s="239"/>
      <c r="G31" s="239"/>
      <c r="H31" s="240"/>
      <c r="I31" s="1">
        <v>135</v>
      </c>
      <c r="J31" s="133">
        <v>0</v>
      </c>
      <c r="K31" s="133">
        <f>J31</f>
        <v>0</v>
      </c>
      <c r="L31" s="133">
        <v>0</v>
      </c>
      <c r="M31" s="133">
        <f>L31</f>
        <v>0</v>
      </c>
      <c r="P31" s="151">
        <v>134</v>
      </c>
      <c r="Q31" s="155">
        <v>0</v>
      </c>
      <c r="R31" s="155">
        <v>0</v>
      </c>
      <c r="S31" s="155">
        <v>0</v>
      </c>
      <c r="T31" s="155">
        <v>0</v>
      </c>
      <c r="V31" s="153">
        <f t="shared" si="8"/>
        <v>0</v>
      </c>
      <c r="W31" s="153">
        <f t="shared" si="9"/>
        <v>0</v>
      </c>
      <c r="X31" s="153">
        <f t="shared" si="10"/>
        <v>0</v>
      </c>
      <c r="Y31" s="153">
        <f t="shared" si="11"/>
        <v>0</v>
      </c>
    </row>
    <row r="32" spans="1:25" ht="13.5" thickBot="1">
      <c r="A32" s="238" t="s">
        <v>140</v>
      </c>
      <c r="B32" s="239"/>
      <c r="C32" s="239"/>
      <c r="D32" s="239"/>
      <c r="E32" s="239"/>
      <c r="F32" s="239"/>
      <c r="G32" s="239"/>
      <c r="H32" s="240"/>
      <c r="I32" s="1">
        <v>136</v>
      </c>
      <c r="J32" s="133">
        <v>0</v>
      </c>
      <c r="K32" s="133">
        <v>0</v>
      </c>
      <c r="L32" s="133">
        <v>0</v>
      </c>
      <c r="M32" s="133">
        <f>L32</f>
        <v>0</v>
      </c>
      <c r="P32" s="151">
        <v>135</v>
      </c>
      <c r="Q32" s="155">
        <v>0</v>
      </c>
      <c r="R32" s="155">
        <v>0</v>
      </c>
      <c r="S32" s="155">
        <v>0</v>
      </c>
      <c r="T32" s="155">
        <v>0</v>
      </c>
      <c r="V32" s="153">
        <f t="shared" si="8"/>
        <v>0</v>
      </c>
      <c r="W32" s="153">
        <f t="shared" si="9"/>
        <v>0</v>
      </c>
      <c r="X32" s="153">
        <f t="shared" si="10"/>
        <v>0</v>
      </c>
      <c r="Y32" s="153">
        <f t="shared" si="11"/>
        <v>0</v>
      </c>
    </row>
    <row r="33" spans="1:25" ht="13.5" thickBot="1">
      <c r="A33" s="238" t="s">
        <v>214</v>
      </c>
      <c r="B33" s="239"/>
      <c r="C33" s="239"/>
      <c r="D33" s="239"/>
      <c r="E33" s="239"/>
      <c r="F33" s="239"/>
      <c r="G33" s="239"/>
      <c r="H33" s="240"/>
      <c r="I33" s="1">
        <v>137</v>
      </c>
      <c r="J33" s="134">
        <f>SUM(J34:J37)</f>
        <v>50008383</v>
      </c>
      <c r="K33" s="134">
        <f>SUM(K34:K37)</f>
        <v>10722609</v>
      </c>
      <c r="L33" s="134">
        <f>SUM(L34:L37)</f>
        <v>82870619</v>
      </c>
      <c r="M33" s="134">
        <f>SUM(M34:M37)</f>
        <v>15406661</v>
      </c>
      <c r="P33" s="151">
        <v>136</v>
      </c>
      <c r="Q33" s="154">
        <v>39285775</v>
      </c>
      <c r="R33" s="154">
        <v>8941837</v>
      </c>
      <c r="S33" s="154">
        <v>67463958</v>
      </c>
      <c r="T33" s="154">
        <v>15678489</v>
      </c>
      <c r="V33" s="153">
        <f t="shared" si="8"/>
        <v>10722608</v>
      </c>
      <c r="W33" s="153">
        <f t="shared" si="9"/>
        <v>1780772</v>
      </c>
      <c r="X33" s="153">
        <f t="shared" si="10"/>
        <v>15406661</v>
      </c>
      <c r="Y33" s="153">
        <f t="shared" si="11"/>
        <v>-271828</v>
      </c>
    </row>
    <row r="34" spans="1:25" ht="13.5" thickBot="1">
      <c r="A34" s="238" t="s">
        <v>66</v>
      </c>
      <c r="B34" s="239"/>
      <c r="C34" s="239"/>
      <c r="D34" s="239"/>
      <c r="E34" s="239"/>
      <c r="F34" s="239"/>
      <c r="G34" s="239"/>
      <c r="H34" s="240"/>
      <c r="I34" s="1">
        <v>138</v>
      </c>
      <c r="J34" s="133">
        <v>0</v>
      </c>
      <c r="K34" s="133">
        <f>J34</f>
        <v>0</v>
      </c>
      <c r="L34" s="133">
        <v>0</v>
      </c>
      <c r="M34" s="133">
        <f>L34</f>
        <v>0</v>
      </c>
      <c r="P34" s="151">
        <v>137</v>
      </c>
      <c r="Q34" s="155">
        <v>0</v>
      </c>
      <c r="R34" s="155">
        <v>0</v>
      </c>
      <c r="S34" s="155">
        <v>0</v>
      </c>
      <c r="T34" s="155">
        <v>0</v>
      </c>
      <c r="V34" s="153">
        <f t="shared" si="8"/>
        <v>0</v>
      </c>
      <c r="W34" s="153">
        <f t="shared" si="9"/>
        <v>0</v>
      </c>
      <c r="X34" s="153">
        <f t="shared" si="10"/>
        <v>0</v>
      </c>
      <c r="Y34" s="153">
        <f t="shared" si="11"/>
        <v>0</v>
      </c>
    </row>
    <row r="35" spans="1:25" ht="23.25" customHeight="1" thickBot="1">
      <c r="A35" s="238" t="s">
        <v>65</v>
      </c>
      <c r="B35" s="239"/>
      <c r="C35" s="239"/>
      <c r="D35" s="239"/>
      <c r="E35" s="239"/>
      <c r="F35" s="239"/>
      <c r="G35" s="239"/>
      <c r="H35" s="240"/>
      <c r="I35" s="1">
        <v>139</v>
      </c>
      <c r="J35" s="133">
        <f>48531520+1476863</f>
        <v>50008383</v>
      </c>
      <c r="K35" s="133">
        <f>J35-39285774</f>
        <v>10722609</v>
      </c>
      <c r="L35" s="133">
        <v>82870619</v>
      </c>
      <c r="M35" s="133">
        <f>L35-67463958</f>
        <v>15406661</v>
      </c>
      <c r="P35" s="151">
        <v>138</v>
      </c>
      <c r="Q35" s="269">
        <v>39285775</v>
      </c>
      <c r="R35" s="269">
        <v>8941837</v>
      </c>
      <c r="S35" s="269">
        <v>67463958</v>
      </c>
      <c r="T35" s="269">
        <v>15678489</v>
      </c>
      <c r="V35" s="153">
        <f t="shared" si="8"/>
        <v>10722608</v>
      </c>
      <c r="W35" s="153">
        <f t="shared" si="9"/>
        <v>1780772</v>
      </c>
      <c r="X35" s="153">
        <f t="shared" si="10"/>
        <v>15406661</v>
      </c>
      <c r="Y35" s="153">
        <f t="shared" si="11"/>
        <v>-271828</v>
      </c>
    </row>
    <row r="36" spans="1:25" ht="13.5" thickBot="1">
      <c r="A36" s="238" t="s">
        <v>224</v>
      </c>
      <c r="B36" s="239"/>
      <c r="C36" s="239"/>
      <c r="D36" s="239"/>
      <c r="E36" s="239"/>
      <c r="F36" s="239"/>
      <c r="G36" s="239"/>
      <c r="H36" s="240"/>
      <c r="I36" s="1">
        <v>140</v>
      </c>
      <c r="J36" s="133">
        <v>0</v>
      </c>
      <c r="K36" s="133">
        <f aca="true" t="shared" si="12" ref="K36:K41">J36</f>
        <v>0</v>
      </c>
      <c r="L36" s="133">
        <v>0</v>
      </c>
      <c r="M36" s="133">
        <f aca="true" t="shared" si="13" ref="M36:M41">L36</f>
        <v>0</v>
      </c>
      <c r="P36" s="151">
        <v>139</v>
      </c>
      <c r="Q36" s="269"/>
      <c r="R36" s="269"/>
      <c r="S36" s="269"/>
      <c r="T36" s="269"/>
      <c r="V36" s="153">
        <f t="shared" si="8"/>
        <v>0</v>
      </c>
      <c r="W36" s="153">
        <f t="shared" si="9"/>
        <v>0</v>
      </c>
      <c r="X36" s="153">
        <f t="shared" si="10"/>
        <v>0</v>
      </c>
      <c r="Y36" s="153">
        <f t="shared" si="11"/>
        <v>0</v>
      </c>
    </row>
    <row r="37" spans="1:25" ht="13.5" thickBot="1">
      <c r="A37" s="238" t="s">
        <v>67</v>
      </c>
      <c r="B37" s="239"/>
      <c r="C37" s="239"/>
      <c r="D37" s="239"/>
      <c r="E37" s="239"/>
      <c r="F37" s="239"/>
      <c r="G37" s="239"/>
      <c r="H37" s="240"/>
      <c r="I37" s="1">
        <v>141</v>
      </c>
      <c r="J37" s="133">
        <v>0</v>
      </c>
      <c r="K37" s="133">
        <f t="shared" si="12"/>
        <v>0</v>
      </c>
      <c r="L37" s="133">
        <v>0</v>
      </c>
      <c r="M37" s="133">
        <f t="shared" si="13"/>
        <v>0</v>
      </c>
      <c r="P37" s="151">
        <v>140</v>
      </c>
      <c r="Q37" s="155">
        <v>0</v>
      </c>
      <c r="R37" s="155">
        <v>0</v>
      </c>
      <c r="S37" s="155">
        <v>0</v>
      </c>
      <c r="T37" s="155">
        <v>0</v>
      </c>
      <c r="V37" s="153">
        <f t="shared" si="8"/>
        <v>0</v>
      </c>
      <c r="W37" s="153">
        <f t="shared" si="9"/>
        <v>0</v>
      </c>
      <c r="X37" s="153">
        <f t="shared" si="10"/>
        <v>0</v>
      </c>
      <c r="Y37" s="153">
        <f t="shared" si="11"/>
        <v>0</v>
      </c>
    </row>
    <row r="38" spans="1:25" ht="13.5" thickBot="1">
      <c r="A38" s="238" t="s">
        <v>195</v>
      </c>
      <c r="B38" s="239"/>
      <c r="C38" s="239"/>
      <c r="D38" s="239"/>
      <c r="E38" s="239"/>
      <c r="F38" s="239"/>
      <c r="G38" s="239"/>
      <c r="H38" s="240"/>
      <c r="I38" s="1">
        <v>142</v>
      </c>
      <c r="J38" s="136">
        <v>0</v>
      </c>
      <c r="K38" s="133">
        <f t="shared" si="12"/>
        <v>0</v>
      </c>
      <c r="L38" s="136">
        <v>0</v>
      </c>
      <c r="M38" s="133">
        <f t="shared" si="13"/>
        <v>0</v>
      </c>
      <c r="P38" s="151">
        <v>141</v>
      </c>
      <c r="Q38" s="155">
        <v>0</v>
      </c>
      <c r="R38" s="155">
        <v>0</v>
      </c>
      <c r="S38" s="155">
        <v>0</v>
      </c>
      <c r="T38" s="155">
        <v>0</v>
      </c>
      <c r="V38" s="153">
        <f t="shared" si="8"/>
        <v>0</v>
      </c>
      <c r="W38" s="153">
        <f t="shared" si="9"/>
        <v>0</v>
      </c>
      <c r="X38" s="153">
        <f t="shared" si="10"/>
        <v>0</v>
      </c>
      <c r="Y38" s="153">
        <f t="shared" si="11"/>
        <v>0</v>
      </c>
    </row>
    <row r="39" spans="1:25" ht="13.5" thickBot="1">
      <c r="A39" s="238" t="s">
        <v>196</v>
      </c>
      <c r="B39" s="239"/>
      <c r="C39" s="239"/>
      <c r="D39" s="239"/>
      <c r="E39" s="239"/>
      <c r="F39" s="239"/>
      <c r="G39" s="239"/>
      <c r="H39" s="240"/>
      <c r="I39" s="1">
        <v>143</v>
      </c>
      <c r="J39" s="136">
        <v>0</v>
      </c>
      <c r="K39" s="133">
        <f t="shared" si="12"/>
        <v>0</v>
      </c>
      <c r="L39" s="136">
        <v>0</v>
      </c>
      <c r="M39" s="133">
        <f t="shared" si="13"/>
        <v>0</v>
      </c>
      <c r="P39" s="151">
        <v>142</v>
      </c>
      <c r="Q39" s="155">
        <v>0</v>
      </c>
      <c r="R39" s="155">
        <v>0</v>
      </c>
      <c r="S39" s="155">
        <v>0</v>
      </c>
      <c r="T39" s="155">
        <v>0</v>
      </c>
      <c r="V39" s="153">
        <f t="shared" si="8"/>
        <v>0</v>
      </c>
      <c r="W39" s="153">
        <f t="shared" si="9"/>
        <v>0</v>
      </c>
      <c r="X39" s="153">
        <f t="shared" si="10"/>
        <v>0</v>
      </c>
      <c r="Y39" s="153">
        <f t="shared" si="11"/>
        <v>0</v>
      </c>
    </row>
    <row r="40" spans="1:25" ht="13.5" thickBot="1">
      <c r="A40" s="238" t="s">
        <v>225</v>
      </c>
      <c r="B40" s="239"/>
      <c r="C40" s="239"/>
      <c r="D40" s="239"/>
      <c r="E40" s="239"/>
      <c r="F40" s="239"/>
      <c r="G40" s="239"/>
      <c r="H40" s="240"/>
      <c r="I40" s="1">
        <v>144</v>
      </c>
      <c r="J40" s="136">
        <v>0</v>
      </c>
      <c r="K40" s="133">
        <f t="shared" si="12"/>
        <v>0</v>
      </c>
      <c r="L40" s="136">
        <v>0</v>
      </c>
      <c r="M40" s="133">
        <f t="shared" si="13"/>
        <v>0</v>
      </c>
      <c r="P40" s="151">
        <v>143</v>
      </c>
      <c r="Q40" s="155">
        <v>0</v>
      </c>
      <c r="R40" s="155">
        <v>0</v>
      </c>
      <c r="S40" s="155">
        <v>0</v>
      </c>
      <c r="T40" s="155">
        <v>0</v>
      </c>
      <c r="V40" s="153">
        <f t="shared" si="8"/>
        <v>0</v>
      </c>
      <c r="W40" s="153">
        <f t="shared" si="9"/>
        <v>0</v>
      </c>
      <c r="X40" s="153">
        <f t="shared" si="10"/>
        <v>0</v>
      </c>
      <c r="Y40" s="153">
        <f t="shared" si="11"/>
        <v>0</v>
      </c>
    </row>
    <row r="41" spans="1:25" ht="13.5" thickBot="1">
      <c r="A41" s="238" t="s">
        <v>226</v>
      </c>
      <c r="B41" s="239"/>
      <c r="C41" s="239"/>
      <c r="D41" s="239"/>
      <c r="E41" s="239"/>
      <c r="F41" s="239"/>
      <c r="G41" s="239"/>
      <c r="H41" s="240"/>
      <c r="I41" s="1">
        <v>145</v>
      </c>
      <c r="J41" s="136">
        <v>0</v>
      </c>
      <c r="K41" s="133">
        <f t="shared" si="12"/>
        <v>0</v>
      </c>
      <c r="L41" s="136">
        <v>0</v>
      </c>
      <c r="M41" s="133">
        <f t="shared" si="13"/>
        <v>0</v>
      </c>
      <c r="P41" s="151">
        <v>144</v>
      </c>
      <c r="Q41" s="155">
        <v>0</v>
      </c>
      <c r="R41" s="155">
        <v>0</v>
      </c>
      <c r="S41" s="155">
        <v>0</v>
      </c>
      <c r="T41" s="155">
        <v>0</v>
      </c>
      <c r="V41" s="153">
        <f t="shared" si="8"/>
        <v>0</v>
      </c>
      <c r="W41" s="153">
        <f t="shared" si="9"/>
        <v>0</v>
      </c>
      <c r="X41" s="153">
        <f t="shared" si="10"/>
        <v>0</v>
      </c>
      <c r="Y41" s="153">
        <f t="shared" si="11"/>
        <v>0</v>
      </c>
    </row>
    <row r="42" spans="1:25" ht="13.5" thickBot="1">
      <c r="A42" s="238" t="s">
        <v>215</v>
      </c>
      <c r="B42" s="239"/>
      <c r="C42" s="239"/>
      <c r="D42" s="239"/>
      <c r="E42" s="239"/>
      <c r="F42" s="239"/>
      <c r="G42" s="239"/>
      <c r="H42" s="240"/>
      <c r="I42" s="1">
        <v>146</v>
      </c>
      <c r="J42" s="134">
        <f>J7+J27+J38+J40</f>
        <v>1609988610</v>
      </c>
      <c r="K42" s="134">
        <f>K7+K27+K38+K40</f>
        <v>400781810</v>
      </c>
      <c r="L42" s="134">
        <f>L7+L27+L38+L40</f>
        <v>1825404344</v>
      </c>
      <c r="M42" s="134">
        <f>M7+M27+M38+M40</f>
        <v>380197989</v>
      </c>
      <c r="P42" s="151">
        <v>146</v>
      </c>
      <c r="Q42" s="154">
        <v>1209206800</v>
      </c>
      <c r="R42" s="154">
        <v>547023410</v>
      </c>
      <c r="S42" s="154">
        <v>1445206354</v>
      </c>
      <c r="T42" s="154">
        <v>565508369</v>
      </c>
      <c r="V42" s="153">
        <f t="shared" si="8"/>
        <v>400781810</v>
      </c>
      <c r="W42" s="153">
        <f t="shared" si="9"/>
        <v>-146241600</v>
      </c>
      <c r="X42" s="153">
        <f t="shared" si="10"/>
        <v>380197990</v>
      </c>
      <c r="Y42" s="153">
        <f t="shared" si="11"/>
        <v>-185310380</v>
      </c>
    </row>
    <row r="43" spans="1:25" ht="13.5" thickBot="1">
      <c r="A43" s="238" t="s">
        <v>216</v>
      </c>
      <c r="B43" s="239"/>
      <c r="C43" s="239"/>
      <c r="D43" s="239"/>
      <c r="E43" s="239"/>
      <c r="F43" s="239"/>
      <c r="G43" s="239"/>
      <c r="H43" s="240"/>
      <c r="I43" s="1">
        <v>147</v>
      </c>
      <c r="J43" s="134">
        <f>J10+J33+J39+J41</f>
        <v>1603422980</v>
      </c>
      <c r="K43" s="134">
        <f>K10+K33+K39+K41</f>
        <v>398098867</v>
      </c>
      <c r="L43" s="134">
        <f>L10+L33+L39+L41</f>
        <v>1798427088</v>
      </c>
      <c r="M43" s="134">
        <f>M10+M33+M39+M41</f>
        <v>453617189</v>
      </c>
      <c r="P43" s="151">
        <v>147</v>
      </c>
      <c r="Q43" s="154">
        <v>1205324114</v>
      </c>
      <c r="R43" s="154">
        <v>458491722</v>
      </c>
      <c r="S43" s="154">
        <v>1344809898</v>
      </c>
      <c r="T43" s="154">
        <v>507662054</v>
      </c>
      <c r="V43" s="153">
        <f aca="true" t="shared" si="14" ref="V43:V67">J43-Q43</f>
        <v>398098866</v>
      </c>
      <c r="W43" s="153">
        <f aca="true" t="shared" si="15" ref="W43:W67">K43-R43</f>
        <v>-60392855</v>
      </c>
      <c r="X43" s="153">
        <f aca="true" t="shared" si="16" ref="X43:X67">L43-S43</f>
        <v>453617190</v>
      </c>
      <c r="Y43" s="153">
        <f aca="true" t="shared" si="17" ref="Y43:Y67">M43-T43</f>
        <v>-54044865</v>
      </c>
    </row>
    <row r="44" spans="1:25" ht="13.5" thickBot="1">
      <c r="A44" s="238" t="s">
        <v>236</v>
      </c>
      <c r="B44" s="239"/>
      <c r="C44" s="239"/>
      <c r="D44" s="239"/>
      <c r="E44" s="239"/>
      <c r="F44" s="239"/>
      <c r="G44" s="239"/>
      <c r="H44" s="240"/>
      <c r="I44" s="1">
        <v>148</v>
      </c>
      <c r="J44" s="134">
        <f>J42-J43</f>
        <v>6565630</v>
      </c>
      <c r="K44" s="134">
        <f>K42-K43</f>
        <v>2682943</v>
      </c>
      <c r="L44" s="134">
        <f>L42-L43</f>
        <v>26977256</v>
      </c>
      <c r="M44" s="134">
        <f>M42-M43</f>
        <v>-73419200</v>
      </c>
      <c r="P44" s="151">
        <v>148</v>
      </c>
      <c r="Q44" s="154">
        <v>3882687</v>
      </c>
      <c r="R44" s="154">
        <v>88531687</v>
      </c>
      <c r="S44" s="154">
        <v>100396456</v>
      </c>
      <c r="T44" s="154">
        <v>57846316</v>
      </c>
      <c r="V44" s="153">
        <f t="shared" si="14"/>
        <v>2682943</v>
      </c>
      <c r="W44" s="153">
        <f t="shared" si="15"/>
        <v>-85848744</v>
      </c>
      <c r="X44" s="153">
        <f t="shared" si="16"/>
        <v>-73419200</v>
      </c>
      <c r="Y44" s="153">
        <f t="shared" si="17"/>
        <v>-131265516</v>
      </c>
    </row>
    <row r="45" spans="1:25" ht="13.5" thickBot="1">
      <c r="A45" s="249" t="s">
        <v>218</v>
      </c>
      <c r="B45" s="250"/>
      <c r="C45" s="250"/>
      <c r="D45" s="250"/>
      <c r="E45" s="250"/>
      <c r="F45" s="250"/>
      <c r="G45" s="250"/>
      <c r="H45" s="251"/>
      <c r="I45" s="1">
        <v>149</v>
      </c>
      <c r="J45" s="135">
        <f>IF(J42&gt;J43,J42-J43,0)</f>
        <v>6565630</v>
      </c>
      <c r="K45" s="135">
        <f>IF(K42&gt;K43,K42-K43,0)</f>
        <v>2682943</v>
      </c>
      <c r="L45" s="135">
        <f>IF(L42&gt;L43,L42-L43,0)</f>
        <v>26977256</v>
      </c>
      <c r="M45" s="135">
        <f>IF(M42&gt;M43,M42-M43,0)</f>
        <v>0</v>
      </c>
      <c r="P45" s="151">
        <v>149</v>
      </c>
      <c r="Q45" s="154">
        <v>3882687</v>
      </c>
      <c r="R45" s="154">
        <v>88531687</v>
      </c>
      <c r="S45" s="154">
        <v>100396456</v>
      </c>
      <c r="T45" s="154">
        <v>57846316</v>
      </c>
      <c r="V45" s="153">
        <f t="shared" si="14"/>
        <v>2682943</v>
      </c>
      <c r="W45" s="153">
        <f t="shared" si="15"/>
        <v>-85848744</v>
      </c>
      <c r="X45" s="153">
        <f t="shared" si="16"/>
        <v>-73419200</v>
      </c>
      <c r="Y45" s="153">
        <f t="shared" si="17"/>
        <v>-57846316</v>
      </c>
    </row>
    <row r="46" spans="1:25" ht="13.5" thickBot="1">
      <c r="A46" s="249" t="s">
        <v>219</v>
      </c>
      <c r="B46" s="250"/>
      <c r="C46" s="250"/>
      <c r="D46" s="250"/>
      <c r="E46" s="250"/>
      <c r="F46" s="250"/>
      <c r="G46" s="250"/>
      <c r="H46" s="251"/>
      <c r="I46" s="1">
        <v>150</v>
      </c>
      <c r="J46" s="135">
        <f>IF(J43&gt;J42,J43-J42,0)</f>
        <v>0</v>
      </c>
      <c r="K46" s="135">
        <f>IF(K43&gt;K42,K43-K42,0)</f>
        <v>0</v>
      </c>
      <c r="L46" s="135">
        <f>IF(L43&gt;L42,L43-L42,0)</f>
        <v>0</v>
      </c>
      <c r="M46" s="135">
        <f>IF(M43&gt;M42,M43-M42,0)</f>
        <v>73419200</v>
      </c>
      <c r="P46" s="151">
        <v>150</v>
      </c>
      <c r="Q46" s="155">
        <v>0</v>
      </c>
      <c r="R46" s="155">
        <v>0</v>
      </c>
      <c r="S46" s="155">
        <v>0</v>
      </c>
      <c r="T46" s="155">
        <v>0</v>
      </c>
      <c r="V46" s="153">
        <f t="shared" si="14"/>
        <v>0</v>
      </c>
      <c r="W46" s="153">
        <f t="shared" si="15"/>
        <v>0</v>
      </c>
      <c r="X46" s="153">
        <f t="shared" si="16"/>
        <v>0</v>
      </c>
      <c r="Y46" s="153">
        <f t="shared" si="17"/>
        <v>73419200</v>
      </c>
    </row>
    <row r="47" spans="1:25" ht="13.5" thickBot="1">
      <c r="A47" s="238" t="s">
        <v>217</v>
      </c>
      <c r="B47" s="239"/>
      <c r="C47" s="239"/>
      <c r="D47" s="239"/>
      <c r="E47" s="239"/>
      <c r="F47" s="239"/>
      <c r="G47" s="239"/>
      <c r="H47" s="240"/>
      <c r="I47" s="1">
        <v>151</v>
      </c>
      <c r="J47" s="136">
        <v>0</v>
      </c>
      <c r="K47" s="136">
        <f>J47</f>
        <v>0</v>
      </c>
      <c r="L47" s="136">
        <v>0</v>
      </c>
      <c r="M47" s="136">
        <v>0</v>
      </c>
      <c r="P47" s="151">
        <v>151</v>
      </c>
      <c r="Q47" s="155">
        <v>0</v>
      </c>
      <c r="R47" s="155">
        <v>0</v>
      </c>
      <c r="S47" s="155">
        <v>0</v>
      </c>
      <c r="T47" s="155">
        <v>0</v>
      </c>
      <c r="V47" s="153">
        <f t="shared" si="14"/>
        <v>0</v>
      </c>
      <c r="W47" s="153">
        <f t="shared" si="15"/>
        <v>0</v>
      </c>
      <c r="X47" s="153">
        <f t="shared" si="16"/>
        <v>0</v>
      </c>
      <c r="Y47" s="153">
        <f t="shared" si="17"/>
        <v>0</v>
      </c>
    </row>
    <row r="48" spans="1:25" ht="13.5" thickBot="1">
      <c r="A48" s="238" t="s">
        <v>237</v>
      </c>
      <c r="B48" s="239"/>
      <c r="C48" s="239"/>
      <c r="D48" s="239"/>
      <c r="E48" s="239"/>
      <c r="F48" s="239"/>
      <c r="G48" s="239"/>
      <c r="H48" s="240"/>
      <c r="I48" s="1">
        <v>152</v>
      </c>
      <c r="J48" s="134">
        <f>J44-J47</f>
        <v>6565630</v>
      </c>
      <c r="K48" s="134">
        <f>K44-K47</f>
        <v>2682943</v>
      </c>
      <c r="L48" s="134">
        <f>L44-L47</f>
        <v>26977256</v>
      </c>
      <c r="M48" s="134">
        <f>M44-M47</f>
        <v>-73419200</v>
      </c>
      <c r="P48" s="151">
        <v>152</v>
      </c>
      <c r="Q48" s="154">
        <v>3882687</v>
      </c>
      <c r="R48" s="154">
        <v>88531687</v>
      </c>
      <c r="S48" s="154">
        <v>100396456</v>
      </c>
      <c r="T48" s="154">
        <v>57846316</v>
      </c>
      <c r="V48" s="153">
        <f t="shared" si="14"/>
        <v>2682943</v>
      </c>
      <c r="W48" s="153">
        <f t="shared" si="15"/>
        <v>-85848744</v>
      </c>
      <c r="X48" s="153">
        <f t="shared" si="16"/>
        <v>-73419200</v>
      </c>
      <c r="Y48" s="153">
        <f t="shared" si="17"/>
        <v>-131265516</v>
      </c>
    </row>
    <row r="49" spans="1:25" ht="13.5" thickBot="1">
      <c r="A49" s="249" t="s">
        <v>192</v>
      </c>
      <c r="B49" s="250"/>
      <c r="C49" s="250"/>
      <c r="D49" s="250"/>
      <c r="E49" s="250"/>
      <c r="F49" s="250"/>
      <c r="G49" s="250"/>
      <c r="H49" s="251"/>
      <c r="I49" s="1">
        <v>153</v>
      </c>
      <c r="J49" s="135">
        <f>IF(J48&gt;0,J48,0)</f>
        <v>6565630</v>
      </c>
      <c r="K49" s="135">
        <f>IF(K48&gt;0,K48,0)</f>
        <v>2682943</v>
      </c>
      <c r="L49" s="135">
        <f>IF(L48&gt;0,L48,0)</f>
        <v>26977256</v>
      </c>
      <c r="M49" s="135">
        <f>IF(M48&gt;0,M48,0)</f>
        <v>0</v>
      </c>
      <c r="P49" s="151">
        <v>153</v>
      </c>
      <c r="Q49" s="154">
        <v>3882687</v>
      </c>
      <c r="R49" s="154">
        <v>88531687</v>
      </c>
      <c r="S49" s="154">
        <v>100396456</v>
      </c>
      <c r="T49" s="154">
        <v>57846316</v>
      </c>
      <c r="V49" s="153">
        <f t="shared" si="14"/>
        <v>2682943</v>
      </c>
      <c r="W49" s="153">
        <f t="shared" si="15"/>
        <v>-85848744</v>
      </c>
      <c r="X49" s="153">
        <f t="shared" si="16"/>
        <v>-73419200</v>
      </c>
      <c r="Y49" s="153">
        <f t="shared" si="17"/>
        <v>-57846316</v>
      </c>
    </row>
    <row r="50" spans="1:25" ht="13.5" thickBot="1">
      <c r="A50" s="282" t="s">
        <v>220</v>
      </c>
      <c r="B50" s="283"/>
      <c r="C50" s="283"/>
      <c r="D50" s="283"/>
      <c r="E50" s="283"/>
      <c r="F50" s="283"/>
      <c r="G50" s="283"/>
      <c r="H50" s="284"/>
      <c r="I50" s="3">
        <v>154</v>
      </c>
      <c r="J50" s="137">
        <f>IF(J48&lt;0,-J48,0)</f>
        <v>0</v>
      </c>
      <c r="K50" s="137">
        <f>IF(K48&lt;0,-K48,0)</f>
        <v>0</v>
      </c>
      <c r="L50" s="137">
        <f>IF(L48&lt;0,-L48,0)</f>
        <v>0</v>
      </c>
      <c r="M50" s="137">
        <f>IF(M48&lt;0,-M48,0)</f>
        <v>73419200</v>
      </c>
      <c r="P50" s="151">
        <v>154</v>
      </c>
      <c r="Q50" s="155">
        <v>0</v>
      </c>
      <c r="R50" s="155">
        <v>0</v>
      </c>
      <c r="S50" s="155">
        <v>0</v>
      </c>
      <c r="T50" s="155">
        <v>0</v>
      </c>
      <c r="V50" s="153">
        <f t="shared" si="14"/>
        <v>0</v>
      </c>
      <c r="W50" s="153">
        <f t="shared" si="15"/>
        <v>0</v>
      </c>
      <c r="X50" s="153">
        <f t="shared" si="16"/>
        <v>0</v>
      </c>
      <c r="Y50" s="153">
        <f t="shared" si="17"/>
        <v>73419200</v>
      </c>
    </row>
    <row r="51" spans="1:25" ht="12.75" customHeight="1" thickBot="1">
      <c r="A51" s="227" t="s">
        <v>312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P51" s="152">
        <v>154.2</v>
      </c>
      <c r="Q51" s="155">
        <v>0</v>
      </c>
      <c r="R51" s="155">
        <v>0</v>
      </c>
      <c r="S51" s="155">
        <v>0</v>
      </c>
      <c r="T51" s="155">
        <v>0</v>
      </c>
      <c r="V51" s="153">
        <f t="shared" si="14"/>
        <v>0</v>
      </c>
      <c r="W51" s="153">
        <f t="shared" si="15"/>
        <v>0</v>
      </c>
      <c r="X51" s="153">
        <f t="shared" si="16"/>
        <v>0</v>
      </c>
      <c r="Y51" s="153">
        <f t="shared" si="17"/>
        <v>0</v>
      </c>
    </row>
    <row r="52" spans="1:25" ht="12.75" customHeight="1" thickBot="1">
      <c r="A52" s="231" t="s">
        <v>187</v>
      </c>
      <c r="B52" s="232"/>
      <c r="C52" s="232"/>
      <c r="D52" s="232"/>
      <c r="E52" s="232"/>
      <c r="F52" s="232"/>
      <c r="G52" s="232"/>
      <c r="H52" s="232"/>
      <c r="I52" s="49"/>
      <c r="J52" s="49"/>
      <c r="K52" s="49"/>
      <c r="L52" s="49"/>
      <c r="M52" s="56"/>
      <c r="P52" s="152">
        <v>154.4</v>
      </c>
      <c r="Q52" s="155">
        <v>0</v>
      </c>
      <c r="R52" s="155">
        <v>0</v>
      </c>
      <c r="S52" s="155">
        <v>0</v>
      </c>
      <c r="T52" s="155">
        <v>0</v>
      </c>
      <c r="V52" s="153">
        <f t="shared" si="14"/>
        <v>0</v>
      </c>
      <c r="W52" s="153">
        <f t="shared" si="15"/>
        <v>0</v>
      </c>
      <c r="X52" s="153">
        <f t="shared" si="16"/>
        <v>0</v>
      </c>
      <c r="Y52" s="153">
        <f t="shared" si="17"/>
        <v>0</v>
      </c>
    </row>
    <row r="53" spans="1:25" ht="13.5" thickBot="1">
      <c r="A53" s="278" t="s">
        <v>234</v>
      </c>
      <c r="B53" s="279"/>
      <c r="C53" s="279"/>
      <c r="D53" s="279"/>
      <c r="E53" s="279"/>
      <c r="F53" s="279"/>
      <c r="G53" s="279"/>
      <c r="H53" s="280"/>
      <c r="I53" s="1">
        <v>155</v>
      </c>
      <c r="J53" s="5"/>
      <c r="K53" s="5"/>
      <c r="L53" s="5"/>
      <c r="M53" s="5"/>
      <c r="P53" s="151">
        <v>155</v>
      </c>
      <c r="Q53" s="155">
        <v>0</v>
      </c>
      <c r="R53" s="155">
        <v>0</v>
      </c>
      <c r="S53" s="155">
        <v>0</v>
      </c>
      <c r="T53" s="155">
        <v>0</v>
      </c>
      <c r="V53" s="153">
        <f t="shared" si="14"/>
        <v>0</v>
      </c>
      <c r="W53" s="153">
        <f t="shared" si="15"/>
        <v>0</v>
      </c>
      <c r="X53" s="153">
        <f t="shared" si="16"/>
        <v>0</v>
      </c>
      <c r="Y53" s="153">
        <f t="shared" si="17"/>
        <v>0</v>
      </c>
    </row>
    <row r="54" spans="1:25" ht="13.5" thickBot="1">
      <c r="A54" s="278" t="s">
        <v>235</v>
      </c>
      <c r="B54" s="279"/>
      <c r="C54" s="279"/>
      <c r="D54" s="279"/>
      <c r="E54" s="279"/>
      <c r="F54" s="279"/>
      <c r="G54" s="279"/>
      <c r="H54" s="280"/>
      <c r="I54" s="1">
        <v>156</v>
      </c>
      <c r="J54" s="6"/>
      <c r="K54" s="6"/>
      <c r="L54" s="6"/>
      <c r="M54" s="6"/>
      <c r="P54" s="151">
        <v>156</v>
      </c>
      <c r="Q54" s="155">
        <v>0</v>
      </c>
      <c r="R54" s="155">
        <v>0</v>
      </c>
      <c r="S54" s="155">
        <v>0</v>
      </c>
      <c r="T54" s="155">
        <v>0</v>
      </c>
      <c r="V54" s="153">
        <f t="shared" si="14"/>
        <v>0</v>
      </c>
      <c r="W54" s="153">
        <f t="shared" si="15"/>
        <v>0</v>
      </c>
      <c r="X54" s="153">
        <f t="shared" si="16"/>
        <v>0</v>
      </c>
      <c r="Y54" s="153">
        <f t="shared" si="17"/>
        <v>0</v>
      </c>
    </row>
    <row r="55" spans="1:25" ht="12.75" customHeight="1" thickBot="1">
      <c r="A55" s="227" t="s">
        <v>189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81"/>
      <c r="P55" s="152">
        <v>156.5</v>
      </c>
      <c r="Q55" s="155">
        <v>0</v>
      </c>
      <c r="R55" s="155">
        <v>0</v>
      </c>
      <c r="S55" s="155">
        <v>0</v>
      </c>
      <c r="T55" s="155">
        <v>0</v>
      </c>
      <c r="V55" s="153">
        <f t="shared" si="14"/>
        <v>0</v>
      </c>
      <c r="W55" s="153">
        <f t="shared" si="15"/>
        <v>0</v>
      </c>
      <c r="X55" s="153">
        <f t="shared" si="16"/>
        <v>0</v>
      </c>
      <c r="Y55" s="153">
        <f t="shared" si="17"/>
        <v>0</v>
      </c>
    </row>
    <row r="56" spans="1:25" ht="12.75" customHeight="1" thickBot="1">
      <c r="A56" s="231" t="s">
        <v>204</v>
      </c>
      <c r="B56" s="232"/>
      <c r="C56" s="232"/>
      <c r="D56" s="232"/>
      <c r="E56" s="232"/>
      <c r="F56" s="232"/>
      <c r="G56" s="232"/>
      <c r="H56" s="252"/>
      <c r="I56" s="7">
        <v>157</v>
      </c>
      <c r="J56" s="138">
        <f>J48</f>
        <v>6565630</v>
      </c>
      <c r="K56" s="138">
        <f>K48</f>
        <v>2682943</v>
      </c>
      <c r="L56" s="138">
        <f>L48</f>
        <v>26977256</v>
      </c>
      <c r="M56" s="138">
        <f>M48</f>
        <v>-73419200</v>
      </c>
      <c r="P56" s="151">
        <v>157</v>
      </c>
      <c r="Q56" s="154">
        <v>3882687</v>
      </c>
      <c r="R56" s="154">
        <v>88531687</v>
      </c>
      <c r="S56" s="154">
        <v>100396456</v>
      </c>
      <c r="T56" s="154">
        <v>57846316</v>
      </c>
      <c r="V56" s="153">
        <f t="shared" si="14"/>
        <v>2682943</v>
      </c>
      <c r="W56" s="153">
        <f t="shared" si="15"/>
        <v>-85848744</v>
      </c>
      <c r="X56" s="153">
        <f t="shared" si="16"/>
        <v>-73419200</v>
      </c>
      <c r="Y56" s="153">
        <f t="shared" si="17"/>
        <v>-131265516</v>
      </c>
    </row>
    <row r="57" spans="1:25" ht="12.75" customHeight="1" thickBot="1">
      <c r="A57" s="238" t="s">
        <v>221</v>
      </c>
      <c r="B57" s="239"/>
      <c r="C57" s="239"/>
      <c r="D57" s="239"/>
      <c r="E57" s="239"/>
      <c r="F57" s="239"/>
      <c r="G57" s="239"/>
      <c r="H57" s="240"/>
      <c r="I57" s="1">
        <v>158</v>
      </c>
      <c r="J57" s="135">
        <f>J58+J59+J60+J61+J62+J63+J64</f>
        <v>389059</v>
      </c>
      <c r="K57" s="135">
        <f>K58+K59+K60+K61+K62+K63+K64</f>
        <v>-415880</v>
      </c>
      <c r="L57" s="135">
        <f>L58+L59+L60+L61+L62+L63+L64</f>
        <v>289478</v>
      </c>
      <c r="M57" s="135">
        <f>M58+M59+M60+M61+M62+M63+M64</f>
        <v>170037</v>
      </c>
      <c r="P57" s="151">
        <v>158</v>
      </c>
      <c r="Q57" s="154">
        <v>804939</v>
      </c>
      <c r="R57" s="154">
        <v>80848</v>
      </c>
      <c r="S57" s="154">
        <v>119441</v>
      </c>
      <c r="T57" s="154">
        <v>-560797</v>
      </c>
      <c r="V57" s="153">
        <f t="shared" si="14"/>
        <v>-415880</v>
      </c>
      <c r="W57" s="153">
        <f t="shared" si="15"/>
        <v>-496728</v>
      </c>
      <c r="X57" s="153">
        <f t="shared" si="16"/>
        <v>170037</v>
      </c>
      <c r="Y57" s="153">
        <f t="shared" si="17"/>
        <v>730834</v>
      </c>
    </row>
    <row r="58" spans="1:25" ht="12.75" customHeight="1" thickBot="1">
      <c r="A58" s="238" t="s">
        <v>228</v>
      </c>
      <c r="B58" s="239"/>
      <c r="C58" s="239"/>
      <c r="D58" s="239"/>
      <c r="E58" s="239"/>
      <c r="F58" s="239"/>
      <c r="G58" s="239"/>
      <c r="H58" s="240"/>
      <c r="I58" s="1">
        <v>159</v>
      </c>
      <c r="J58" s="133">
        <v>0</v>
      </c>
      <c r="K58" s="133">
        <v>0</v>
      </c>
      <c r="L58" s="133">
        <v>0</v>
      </c>
      <c r="M58" s="133">
        <v>0</v>
      </c>
      <c r="P58" s="151">
        <v>159</v>
      </c>
      <c r="Q58" s="155">
        <v>0</v>
      </c>
      <c r="R58" s="155">
        <v>0</v>
      </c>
      <c r="S58" s="155">
        <v>0</v>
      </c>
      <c r="T58" s="155">
        <v>0</v>
      </c>
      <c r="V58" s="153">
        <f t="shared" si="14"/>
        <v>0</v>
      </c>
      <c r="W58" s="153">
        <f t="shared" si="15"/>
        <v>0</v>
      </c>
      <c r="X58" s="153">
        <f t="shared" si="16"/>
        <v>0</v>
      </c>
      <c r="Y58" s="153">
        <f t="shared" si="17"/>
        <v>0</v>
      </c>
    </row>
    <row r="59" spans="1:25" ht="24" customHeight="1" thickBot="1">
      <c r="A59" s="238" t="s">
        <v>229</v>
      </c>
      <c r="B59" s="239"/>
      <c r="C59" s="239"/>
      <c r="D59" s="239"/>
      <c r="E59" s="239"/>
      <c r="F59" s="239"/>
      <c r="G59" s="239"/>
      <c r="H59" s="240"/>
      <c r="I59" s="1">
        <v>160</v>
      </c>
      <c r="J59" s="133">
        <v>0</v>
      </c>
      <c r="K59" s="133">
        <v>0</v>
      </c>
      <c r="L59" s="133">
        <v>0</v>
      </c>
      <c r="M59" s="133">
        <v>0</v>
      </c>
      <c r="P59" s="151">
        <v>160</v>
      </c>
      <c r="Q59" s="155">
        <v>0</v>
      </c>
      <c r="R59" s="155">
        <v>0</v>
      </c>
      <c r="S59" s="155">
        <v>0</v>
      </c>
      <c r="T59" s="155">
        <v>0</v>
      </c>
      <c r="V59" s="153">
        <f t="shared" si="14"/>
        <v>0</v>
      </c>
      <c r="W59" s="153">
        <f t="shared" si="15"/>
        <v>0</v>
      </c>
      <c r="X59" s="153">
        <f t="shared" si="16"/>
        <v>0</v>
      </c>
      <c r="Y59" s="153">
        <f t="shared" si="17"/>
        <v>0</v>
      </c>
    </row>
    <row r="60" spans="1:25" ht="23.25" customHeight="1" thickBot="1">
      <c r="A60" s="238" t="s">
        <v>45</v>
      </c>
      <c r="B60" s="239"/>
      <c r="C60" s="239"/>
      <c r="D60" s="239"/>
      <c r="E60" s="239"/>
      <c r="F60" s="239"/>
      <c r="G60" s="239"/>
      <c r="H60" s="240"/>
      <c r="I60" s="1">
        <v>161</v>
      </c>
      <c r="J60" s="133">
        <v>171828</v>
      </c>
      <c r="K60" s="133">
        <f>J60+15480</f>
        <v>187308</v>
      </c>
      <c r="L60" s="133">
        <v>-379260</v>
      </c>
      <c r="M60" s="133">
        <f>L60+365328</f>
        <v>-13932</v>
      </c>
      <c r="P60" s="151">
        <v>161</v>
      </c>
      <c r="Q60" s="154">
        <v>-15480</v>
      </c>
      <c r="R60" s="154">
        <v>51084</v>
      </c>
      <c r="S60" s="154">
        <v>-365328</v>
      </c>
      <c r="T60" s="154">
        <v>-54165</v>
      </c>
      <c r="V60" s="153">
        <f t="shared" si="14"/>
        <v>187308</v>
      </c>
      <c r="W60" s="153">
        <f t="shared" si="15"/>
        <v>136224</v>
      </c>
      <c r="X60" s="153">
        <f t="shared" si="16"/>
        <v>-13932</v>
      </c>
      <c r="Y60" s="153">
        <f t="shared" si="17"/>
        <v>40233</v>
      </c>
    </row>
    <row r="61" spans="1:25" ht="12.75" customHeight="1" thickBot="1">
      <c r="A61" s="238" t="s">
        <v>230</v>
      </c>
      <c r="B61" s="239"/>
      <c r="C61" s="239"/>
      <c r="D61" s="239"/>
      <c r="E61" s="239"/>
      <c r="F61" s="239"/>
      <c r="G61" s="239"/>
      <c r="H61" s="240"/>
      <c r="I61" s="1">
        <v>162</v>
      </c>
      <c r="J61" s="133">
        <v>217231</v>
      </c>
      <c r="K61" s="133">
        <f>J61-820419</f>
        <v>-603188</v>
      </c>
      <c r="L61" s="133">
        <v>668738</v>
      </c>
      <c r="M61" s="133">
        <f>L61-484769</f>
        <v>183969</v>
      </c>
      <c r="P61" s="151">
        <v>162</v>
      </c>
      <c r="Q61" s="154">
        <v>820419</v>
      </c>
      <c r="R61" s="154">
        <v>29764</v>
      </c>
      <c r="S61" s="154">
        <v>484769</v>
      </c>
      <c r="T61" s="154">
        <v>-506632</v>
      </c>
      <c r="V61" s="153">
        <f t="shared" si="14"/>
        <v>-603188</v>
      </c>
      <c r="W61" s="153">
        <f t="shared" si="15"/>
        <v>-632952</v>
      </c>
      <c r="X61" s="153">
        <f t="shared" si="16"/>
        <v>183969</v>
      </c>
      <c r="Y61" s="153">
        <f t="shared" si="17"/>
        <v>690601</v>
      </c>
    </row>
    <row r="62" spans="1:25" ht="12.75" customHeight="1" thickBot="1">
      <c r="A62" s="238" t="s">
        <v>231</v>
      </c>
      <c r="B62" s="239"/>
      <c r="C62" s="239"/>
      <c r="D62" s="239"/>
      <c r="E62" s="239"/>
      <c r="F62" s="239"/>
      <c r="G62" s="239"/>
      <c r="H62" s="240"/>
      <c r="I62" s="1">
        <v>163</v>
      </c>
      <c r="J62" s="133">
        <v>0</v>
      </c>
      <c r="K62" s="133">
        <v>0</v>
      </c>
      <c r="L62" s="133">
        <v>0</v>
      </c>
      <c r="M62" s="133">
        <v>0</v>
      </c>
      <c r="P62" s="151">
        <v>163</v>
      </c>
      <c r="Q62" s="155">
        <v>0</v>
      </c>
      <c r="R62" s="155">
        <v>0</v>
      </c>
      <c r="S62" s="155">
        <v>0</v>
      </c>
      <c r="T62" s="155">
        <v>0</v>
      </c>
      <c r="V62" s="153">
        <f t="shared" si="14"/>
        <v>0</v>
      </c>
      <c r="W62" s="153">
        <f t="shared" si="15"/>
        <v>0</v>
      </c>
      <c r="X62" s="153">
        <f t="shared" si="16"/>
        <v>0</v>
      </c>
      <c r="Y62" s="153">
        <f t="shared" si="17"/>
        <v>0</v>
      </c>
    </row>
    <row r="63" spans="1:25" ht="12.75" customHeight="1" thickBot="1">
      <c r="A63" s="238" t="s">
        <v>232</v>
      </c>
      <c r="B63" s="239"/>
      <c r="C63" s="239"/>
      <c r="D63" s="239"/>
      <c r="E63" s="239"/>
      <c r="F63" s="239"/>
      <c r="G63" s="239"/>
      <c r="H63" s="240"/>
      <c r="I63" s="1">
        <v>164</v>
      </c>
      <c r="J63" s="133">
        <v>0</v>
      </c>
      <c r="K63" s="133">
        <v>0</v>
      </c>
      <c r="L63" s="133">
        <v>0</v>
      </c>
      <c r="M63" s="133">
        <v>0</v>
      </c>
      <c r="P63" s="151">
        <v>164</v>
      </c>
      <c r="Q63" s="155">
        <v>0</v>
      </c>
      <c r="R63" s="155">
        <v>0</v>
      </c>
      <c r="S63" s="155">
        <v>0</v>
      </c>
      <c r="T63" s="155">
        <v>0</v>
      </c>
      <c r="V63" s="153">
        <f t="shared" si="14"/>
        <v>0</v>
      </c>
      <c r="W63" s="153">
        <f t="shared" si="15"/>
        <v>0</v>
      </c>
      <c r="X63" s="153">
        <f t="shared" si="16"/>
        <v>0</v>
      </c>
      <c r="Y63" s="153">
        <f t="shared" si="17"/>
        <v>0</v>
      </c>
    </row>
    <row r="64" spans="1:25" ht="12.75" customHeight="1" thickBot="1">
      <c r="A64" s="238" t="s">
        <v>233</v>
      </c>
      <c r="B64" s="239"/>
      <c r="C64" s="239"/>
      <c r="D64" s="239"/>
      <c r="E64" s="239"/>
      <c r="F64" s="239"/>
      <c r="G64" s="239"/>
      <c r="H64" s="240"/>
      <c r="I64" s="1">
        <v>165</v>
      </c>
      <c r="J64" s="133">
        <v>0</v>
      </c>
      <c r="K64" s="133">
        <v>0</v>
      </c>
      <c r="L64" s="133">
        <v>0</v>
      </c>
      <c r="M64" s="133">
        <v>0</v>
      </c>
      <c r="P64" s="151">
        <v>165</v>
      </c>
      <c r="Q64" s="155">
        <v>0</v>
      </c>
      <c r="R64" s="155">
        <v>0</v>
      </c>
      <c r="S64" s="155">
        <v>0</v>
      </c>
      <c r="T64" s="155">
        <v>0</v>
      </c>
      <c r="V64" s="153">
        <f t="shared" si="14"/>
        <v>0</v>
      </c>
      <c r="W64" s="153">
        <f t="shared" si="15"/>
        <v>0</v>
      </c>
      <c r="X64" s="153">
        <f t="shared" si="16"/>
        <v>0</v>
      </c>
      <c r="Y64" s="153">
        <f t="shared" si="17"/>
        <v>0</v>
      </c>
    </row>
    <row r="65" spans="1:25" ht="12.75" customHeight="1" thickBot="1">
      <c r="A65" s="238" t="s">
        <v>222</v>
      </c>
      <c r="B65" s="239"/>
      <c r="C65" s="239"/>
      <c r="D65" s="239"/>
      <c r="E65" s="239"/>
      <c r="F65" s="239"/>
      <c r="G65" s="239"/>
      <c r="H65" s="240"/>
      <c r="I65" s="1">
        <v>166</v>
      </c>
      <c r="J65" s="133">
        <v>0</v>
      </c>
      <c r="K65" s="133">
        <v>0</v>
      </c>
      <c r="L65" s="133">
        <v>0</v>
      </c>
      <c r="M65" s="133">
        <v>0</v>
      </c>
      <c r="P65" s="151">
        <v>166</v>
      </c>
      <c r="Q65" s="155">
        <v>0</v>
      </c>
      <c r="R65" s="155">
        <v>0</v>
      </c>
      <c r="S65" s="155">
        <v>0</v>
      </c>
      <c r="T65" s="155">
        <v>0</v>
      </c>
      <c r="V65" s="153">
        <f t="shared" si="14"/>
        <v>0</v>
      </c>
      <c r="W65" s="153">
        <f t="shared" si="15"/>
        <v>0</v>
      </c>
      <c r="X65" s="153">
        <f t="shared" si="16"/>
        <v>0</v>
      </c>
      <c r="Y65" s="153">
        <f t="shared" si="17"/>
        <v>0</v>
      </c>
    </row>
    <row r="66" spans="1:25" ht="12.75" customHeight="1" thickBot="1">
      <c r="A66" s="238" t="s">
        <v>193</v>
      </c>
      <c r="B66" s="239"/>
      <c r="C66" s="239"/>
      <c r="D66" s="239"/>
      <c r="E66" s="239"/>
      <c r="F66" s="239"/>
      <c r="G66" s="239"/>
      <c r="H66" s="240"/>
      <c r="I66" s="1">
        <v>167</v>
      </c>
      <c r="J66" s="135">
        <f>J57-J65</f>
        <v>389059</v>
      </c>
      <c r="K66" s="135">
        <f>K57-K65</f>
        <v>-415880</v>
      </c>
      <c r="L66" s="135">
        <f>L57-L65</f>
        <v>289478</v>
      </c>
      <c r="M66" s="135">
        <f>M57-M65</f>
        <v>170037</v>
      </c>
      <c r="P66" s="151">
        <v>167</v>
      </c>
      <c r="Q66" s="154">
        <v>804939</v>
      </c>
      <c r="R66" s="154">
        <v>80848</v>
      </c>
      <c r="S66" s="154">
        <v>119441</v>
      </c>
      <c r="T66" s="154">
        <v>-560797</v>
      </c>
      <c r="V66" s="153">
        <f t="shared" si="14"/>
        <v>-415880</v>
      </c>
      <c r="W66" s="153">
        <f t="shared" si="15"/>
        <v>-496728</v>
      </c>
      <c r="X66" s="153">
        <f t="shared" si="16"/>
        <v>170037</v>
      </c>
      <c r="Y66" s="153">
        <f t="shared" si="17"/>
        <v>730834</v>
      </c>
    </row>
    <row r="67" spans="1:25" ht="12.75" customHeight="1" thickBot="1">
      <c r="A67" s="241" t="s">
        <v>194</v>
      </c>
      <c r="B67" s="242"/>
      <c r="C67" s="242"/>
      <c r="D67" s="242"/>
      <c r="E67" s="242"/>
      <c r="F67" s="242"/>
      <c r="G67" s="242"/>
      <c r="H67" s="243"/>
      <c r="I67" s="3">
        <v>168</v>
      </c>
      <c r="J67" s="137">
        <f>J56+J66</f>
        <v>6954689</v>
      </c>
      <c r="K67" s="137">
        <f>K56+K66</f>
        <v>2267063</v>
      </c>
      <c r="L67" s="137">
        <f>L56+L66</f>
        <v>27266734</v>
      </c>
      <c r="M67" s="137">
        <f>M56+M66</f>
        <v>-73249163</v>
      </c>
      <c r="P67" s="151">
        <v>168</v>
      </c>
      <c r="Q67" s="154">
        <v>4687625</v>
      </c>
      <c r="R67" s="154">
        <v>88612536</v>
      </c>
      <c r="S67" s="154">
        <v>100515897</v>
      </c>
      <c r="T67" s="154">
        <v>57285519</v>
      </c>
      <c r="V67" s="153">
        <f t="shared" si="14"/>
        <v>2267064</v>
      </c>
      <c r="W67" s="153">
        <f t="shared" si="15"/>
        <v>-86345473</v>
      </c>
      <c r="X67" s="153">
        <f t="shared" si="16"/>
        <v>-73249163</v>
      </c>
      <c r="Y67" s="153">
        <f t="shared" si="17"/>
        <v>-130534682</v>
      </c>
    </row>
    <row r="68" spans="1:20" ht="12.75" customHeight="1" thickBot="1">
      <c r="A68" s="274" t="s">
        <v>313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P68" s="152">
        <v>168.5</v>
      </c>
      <c r="Q68" s="155">
        <v>0</v>
      </c>
      <c r="R68" s="155">
        <v>0</v>
      </c>
      <c r="S68" s="155">
        <v>0</v>
      </c>
      <c r="T68" s="155">
        <v>0</v>
      </c>
    </row>
    <row r="69" spans="1:20" ht="12.75" customHeight="1" thickBot="1">
      <c r="A69" s="276" t="s">
        <v>188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P69" s="152">
        <v>168.7</v>
      </c>
      <c r="Q69" s="155">
        <v>0</v>
      </c>
      <c r="R69" s="155">
        <v>0</v>
      </c>
      <c r="S69" s="155">
        <v>0</v>
      </c>
      <c r="T69" s="155">
        <v>0</v>
      </c>
    </row>
    <row r="70" spans="1:20" ht="12.75" customHeight="1" thickBot="1">
      <c r="A70" s="278" t="s">
        <v>234</v>
      </c>
      <c r="B70" s="279"/>
      <c r="C70" s="279"/>
      <c r="D70" s="279"/>
      <c r="E70" s="279"/>
      <c r="F70" s="279"/>
      <c r="G70" s="279"/>
      <c r="H70" s="280"/>
      <c r="I70" s="1">
        <v>169</v>
      </c>
      <c r="J70" s="5"/>
      <c r="K70" s="5"/>
      <c r="L70" s="5"/>
      <c r="M70" s="5"/>
      <c r="P70" s="151">
        <v>169</v>
      </c>
      <c r="Q70" s="155">
        <v>0</v>
      </c>
      <c r="R70" s="155">
        <v>0</v>
      </c>
      <c r="S70" s="155">
        <v>0</v>
      </c>
      <c r="T70" s="155">
        <v>0</v>
      </c>
    </row>
    <row r="71" spans="1:20" ht="12.75" customHeight="1">
      <c r="A71" s="271" t="s">
        <v>235</v>
      </c>
      <c r="B71" s="272"/>
      <c r="C71" s="272"/>
      <c r="D71" s="272"/>
      <c r="E71" s="272"/>
      <c r="F71" s="272"/>
      <c r="G71" s="272"/>
      <c r="H71" s="273"/>
      <c r="I71" s="3">
        <v>170</v>
      </c>
      <c r="J71" s="6"/>
      <c r="K71" s="6"/>
      <c r="L71" s="6"/>
      <c r="M71" s="6"/>
      <c r="Q71" s="155">
        <v>0</v>
      </c>
      <c r="R71" s="155">
        <v>0</v>
      </c>
      <c r="S71" s="155">
        <v>0</v>
      </c>
      <c r="T71" s="155">
        <v>0</v>
      </c>
    </row>
  </sheetData>
  <sheetProtection/>
  <mergeCells count="79">
    <mergeCell ref="A3:M3"/>
    <mergeCell ref="A4:H4"/>
    <mergeCell ref="A6:H6"/>
    <mergeCell ref="A7:H7"/>
    <mergeCell ref="J4:K4"/>
    <mergeCell ref="L4:M4"/>
    <mergeCell ref="A5:H5"/>
    <mergeCell ref="A14:H14"/>
    <mergeCell ref="Q4:R4"/>
    <mergeCell ref="S4:T4"/>
    <mergeCell ref="A10:H10"/>
    <mergeCell ref="A11:H11"/>
    <mergeCell ref="A12:H12"/>
    <mergeCell ref="A13:H13"/>
    <mergeCell ref="A8:H8"/>
    <mergeCell ref="A9:H9"/>
    <mergeCell ref="A18:H18"/>
    <mergeCell ref="A19:H19"/>
    <mergeCell ref="A20:H20"/>
    <mergeCell ref="A21:H21"/>
    <mergeCell ref="A15:H15"/>
    <mergeCell ref="A16:H16"/>
    <mergeCell ref="A17:H17"/>
    <mergeCell ref="A26:H26"/>
    <mergeCell ref="A27:H27"/>
    <mergeCell ref="A28:H28"/>
    <mergeCell ref="A29:H29"/>
    <mergeCell ref="A22:H22"/>
    <mergeCell ref="A23:H23"/>
    <mergeCell ref="A24:H24"/>
    <mergeCell ref="A25:H25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2:H62"/>
    <mergeCell ref="A63:H63"/>
    <mergeCell ref="A64:H64"/>
    <mergeCell ref="A70:H70"/>
    <mergeCell ref="A58:H58"/>
    <mergeCell ref="A59:H59"/>
    <mergeCell ref="A60:H60"/>
    <mergeCell ref="A61:H61"/>
    <mergeCell ref="A71:H71"/>
    <mergeCell ref="A65:H65"/>
    <mergeCell ref="A66:H66"/>
    <mergeCell ref="A67:H67"/>
    <mergeCell ref="A68:M68"/>
    <mergeCell ref="A69:M69"/>
    <mergeCell ref="Q35:Q36"/>
    <mergeCell ref="R35:R36"/>
    <mergeCell ref="S35:S36"/>
    <mergeCell ref="T35:T36"/>
    <mergeCell ref="A2:M2"/>
    <mergeCell ref="A1:M1"/>
    <mergeCell ref="A30:H30"/>
    <mergeCell ref="A31:H31"/>
    <mergeCell ref="A32:H32"/>
    <mergeCell ref="A33:H33"/>
  </mergeCells>
  <dataValidations count="1">
    <dataValidation allowBlank="1" sqref="Q1:T6 Q72:T65536 U1:IV65536 A1:P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4" sqref="A4:K52"/>
    </sheetView>
  </sheetViews>
  <sheetFormatPr defaultColWidth="9.140625" defaultRowHeight="12.75"/>
  <cols>
    <col min="1" max="7" width="9.140625" style="47" customWidth="1"/>
    <col min="8" max="8" width="2.421875" style="47" customWidth="1"/>
    <col min="9" max="9" width="7.7109375" style="47" customWidth="1"/>
    <col min="10" max="10" width="12.57421875" style="47" customWidth="1"/>
    <col min="11" max="11" width="11.8515625" style="47" customWidth="1"/>
    <col min="12" max="16384" width="9.140625" style="47" customWidth="1"/>
  </cols>
  <sheetData>
    <row r="1" spans="1:11" ht="12.75" customHeight="1">
      <c r="A1" s="296" t="s">
        <v>164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5" customHeight="1">
      <c r="A2" s="297" t="s">
        <v>347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3" t="s">
        <v>338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298" t="s">
        <v>59</v>
      </c>
      <c r="B4" s="298"/>
      <c r="C4" s="298"/>
      <c r="D4" s="298"/>
      <c r="E4" s="298"/>
      <c r="F4" s="298"/>
      <c r="G4" s="298"/>
      <c r="H4" s="298"/>
      <c r="I4" s="60" t="s">
        <v>279</v>
      </c>
      <c r="J4" s="61" t="s">
        <v>319</v>
      </c>
      <c r="K4" s="61" t="s">
        <v>320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62">
        <v>2</v>
      </c>
      <c r="J5" s="63" t="s">
        <v>283</v>
      </c>
      <c r="K5" s="63" t="s">
        <v>284</v>
      </c>
    </row>
    <row r="6" spans="1:11" ht="12.75">
      <c r="A6" s="227" t="s">
        <v>156</v>
      </c>
      <c r="B6" s="228"/>
      <c r="C6" s="228"/>
      <c r="D6" s="228"/>
      <c r="E6" s="228"/>
      <c r="F6" s="228"/>
      <c r="G6" s="228"/>
      <c r="H6" s="228"/>
      <c r="I6" s="290"/>
      <c r="J6" s="290"/>
      <c r="K6" s="291"/>
    </row>
    <row r="7" spans="1:11" ht="12.75">
      <c r="A7" s="235" t="s">
        <v>40</v>
      </c>
      <c r="B7" s="236"/>
      <c r="C7" s="236"/>
      <c r="D7" s="236"/>
      <c r="E7" s="236"/>
      <c r="F7" s="236"/>
      <c r="G7" s="236"/>
      <c r="H7" s="236"/>
      <c r="I7" s="1">
        <v>1</v>
      </c>
      <c r="J7" s="133">
        <f>RDG!J49</f>
        <v>6565630</v>
      </c>
      <c r="K7" s="133">
        <f>RDG!L49</f>
        <v>26977256</v>
      </c>
    </row>
    <row r="8" spans="1:11" ht="12.75">
      <c r="A8" s="235" t="s">
        <v>41</v>
      </c>
      <c r="B8" s="236"/>
      <c r="C8" s="236"/>
      <c r="D8" s="236"/>
      <c r="E8" s="236"/>
      <c r="F8" s="236"/>
      <c r="G8" s="236"/>
      <c r="H8" s="236"/>
      <c r="I8" s="1">
        <v>2</v>
      </c>
      <c r="J8" s="133">
        <v>85450364</v>
      </c>
      <c r="K8" s="133">
        <v>94507753</v>
      </c>
    </row>
    <row r="9" spans="1:11" ht="12.75">
      <c r="A9" s="235" t="s">
        <v>42</v>
      </c>
      <c r="B9" s="236"/>
      <c r="C9" s="236"/>
      <c r="D9" s="236"/>
      <c r="E9" s="236"/>
      <c r="F9" s="236"/>
      <c r="G9" s="236"/>
      <c r="H9" s="236"/>
      <c r="I9" s="1">
        <v>3</v>
      </c>
      <c r="J9" s="133">
        <v>47142731</v>
      </c>
      <c r="K9" s="133">
        <v>0</v>
      </c>
    </row>
    <row r="10" spans="1:11" ht="12.75">
      <c r="A10" s="235" t="s">
        <v>43</v>
      </c>
      <c r="B10" s="236"/>
      <c r="C10" s="236"/>
      <c r="D10" s="236"/>
      <c r="E10" s="236"/>
      <c r="F10" s="236"/>
      <c r="G10" s="236"/>
      <c r="H10" s="236"/>
      <c r="I10" s="1">
        <v>4</v>
      </c>
      <c r="J10" s="133">
        <v>0</v>
      </c>
      <c r="K10" s="133">
        <v>0</v>
      </c>
    </row>
    <row r="11" spans="1:11" ht="12.75">
      <c r="A11" s="235" t="s">
        <v>44</v>
      </c>
      <c r="B11" s="236"/>
      <c r="C11" s="236"/>
      <c r="D11" s="236"/>
      <c r="E11" s="236"/>
      <c r="F11" s="236"/>
      <c r="G11" s="236"/>
      <c r="H11" s="236"/>
      <c r="I11" s="1">
        <v>5</v>
      </c>
      <c r="J11" s="133">
        <v>0</v>
      </c>
      <c r="K11" s="133">
        <v>0</v>
      </c>
    </row>
    <row r="12" spans="1:11" ht="12.75">
      <c r="A12" s="235" t="s">
        <v>51</v>
      </c>
      <c r="B12" s="236"/>
      <c r="C12" s="236"/>
      <c r="D12" s="236"/>
      <c r="E12" s="236"/>
      <c r="F12" s="236"/>
      <c r="G12" s="236"/>
      <c r="H12" s="236"/>
      <c r="I12" s="1">
        <v>6</v>
      </c>
      <c r="J12" s="133">
        <f>16282715+1476863</f>
        <v>17759578</v>
      </c>
      <c r="K12" s="133">
        <f>68296235+58468127</f>
        <v>126764362</v>
      </c>
    </row>
    <row r="13" spans="1:11" ht="12.75">
      <c r="A13" s="238" t="s">
        <v>157</v>
      </c>
      <c r="B13" s="239"/>
      <c r="C13" s="239"/>
      <c r="D13" s="239"/>
      <c r="E13" s="239"/>
      <c r="F13" s="239"/>
      <c r="G13" s="239"/>
      <c r="H13" s="239"/>
      <c r="I13" s="1">
        <v>7</v>
      </c>
      <c r="J13" s="134">
        <f>SUM(J7:J12)</f>
        <v>156918303</v>
      </c>
      <c r="K13" s="134">
        <f>SUM(K7:K12)</f>
        <v>248249371</v>
      </c>
    </row>
    <row r="14" spans="1:11" ht="12.75">
      <c r="A14" s="235" t="s">
        <v>52</v>
      </c>
      <c r="B14" s="236"/>
      <c r="C14" s="236"/>
      <c r="D14" s="236"/>
      <c r="E14" s="236"/>
      <c r="F14" s="236"/>
      <c r="G14" s="236"/>
      <c r="H14" s="236"/>
      <c r="I14" s="1">
        <v>8</v>
      </c>
      <c r="J14" s="133">
        <v>0</v>
      </c>
      <c r="K14" s="133">
        <v>28774095</v>
      </c>
    </row>
    <row r="15" spans="1:11" ht="12.75">
      <c r="A15" s="235" t="s">
        <v>53</v>
      </c>
      <c r="B15" s="236"/>
      <c r="C15" s="236"/>
      <c r="D15" s="236"/>
      <c r="E15" s="236"/>
      <c r="F15" s="236"/>
      <c r="G15" s="236"/>
      <c r="H15" s="236"/>
      <c r="I15" s="1">
        <v>9</v>
      </c>
      <c r="J15" s="133">
        <v>93892</v>
      </c>
      <c r="K15" s="133">
        <v>1416373</v>
      </c>
    </row>
    <row r="16" spans="1:11" ht="12.75">
      <c r="A16" s="235" t="s">
        <v>54</v>
      </c>
      <c r="B16" s="236"/>
      <c r="C16" s="236"/>
      <c r="D16" s="236"/>
      <c r="E16" s="236"/>
      <c r="F16" s="236"/>
      <c r="G16" s="236"/>
      <c r="H16" s="236"/>
      <c r="I16" s="1">
        <v>10</v>
      </c>
      <c r="J16" s="133">
        <v>8063562</v>
      </c>
      <c r="K16" s="133">
        <v>1267507</v>
      </c>
    </row>
    <row r="17" spans="1:11" ht="12.75">
      <c r="A17" s="235" t="s">
        <v>55</v>
      </c>
      <c r="B17" s="236"/>
      <c r="C17" s="236"/>
      <c r="D17" s="236"/>
      <c r="E17" s="236"/>
      <c r="F17" s="236"/>
      <c r="G17" s="236"/>
      <c r="H17" s="236"/>
      <c r="I17" s="1">
        <v>11</v>
      </c>
      <c r="J17" s="133">
        <v>8414982</v>
      </c>
      <c r="K17" s="133">
        <v>64849219</v>
      </c>
    </row>
    <row r="18" spans="1:11" ht="12.75">
      <c r="A18" s="238" t="s">
        <v>158</v>
      </c>
      <c r="B18" s="239"/>
      <c r="C18" s="239"/>
      <c r="D18" s="239"/>
      <c r="E18" s="239"/>
      <c r="F18" s="239"/>
      <c r="G18" s="239"/>
      <c r="H18" s="239"/>
      <c r="I18" s="1">
        <v>12</v>
      </c>
      <c r="J18" s="140">
        <f>SUM(J14:J17)</f>
        <v>16572436</v>
      </c>
      <c r="K18" s="134">
        <f>SUM(K14:K17)</f>
        <v>96307194</v>
      </c>
    </row>
    <row r="19" spans="1:11" ht="25.5" customHeight="1">
      <c r="A19" s="238" t="s">
        <v>36</v>
      </c>
      <c r="B19" s="239"/>
      <c r="C19" s="239"/>
      <c r="D19" s="239"/>
      <c r="E19" s="239"/>
      <c r="F19" s="239"/>
      <c r="G19" s="239"/>
      <c r="H19" s="239"/>
      <c r="I19" s="1">
        <v>13</v>
      </c>
      <c r="J19" s="140">
        <f>IF(J13&gt;J18,J13-J18,0)</f>
        <v>140345867</v>
      </c>
      <c r="K19" s="134">
        <f>IF(K13&gt;K18,K13-K18,0)</f>
        <v>151942177</v>
      </c>
    </row>
    <row r="20" spans="1:11" ht="26.25" customHeight="1">
      <c r="A20" s="238" t="s">
        <v>37</v>
      </c>
      <c r="B20" s="239"/>
      <c r="C20" s="239"/>
      <c r="D20" s="239"/>
      <c r="E20" s="239"/>
      <c r="F20" s="239"/>
      <c r="G20" s="239"/>
      <c r="H20" s="239"/>
      <c r="I20" s="1">
        <v>14</v>
      </c>
      <c r="J20" s="140">
        <f>IF(J18&gt;J13,J18-J13,0)</f>
        <v>0</v>
      </c>
      <c r="K20" s="134">
        <f>IF(K18&gt;K13,K18-K13,0)</f>
        <v>0</v>
      </c>
    </row>
    <row r="21" spans="1:11" ht="12.75">
      <c r="A21" s="227" t="s">
        <v>159</v>
      </c>
      <c r="B21" s="228"/>
      <c r="C21" s="228"/>
      <c r="D21" s="228"/>
      <c r="E21" s="228"/>
      <c r="F21" s="228"/>
      <c r="G21" s="228"/>
      <c r="H21" s="228"/>
      <c r="I21" s="290"/>
      <c r="J21" s="290"/>
      <c r="K21" s="291"/>
    </row>
    <row r="22" spans="1:11" ht="12.75">
      <c r="A22" s="235" t="s">
        <v>178</v>
      </c>
      <c r="B22" s="236"/>
      <c r="C22" s="236"/>
      <c r="D22" s="236"/>
      <c r="E22" s="236"/>
      <c r="F22" s="236"/>
      <c r="G22" s="236"/>
      <c r="H22" s="236"/>
      <c r="I22" s="1">
        <v>15</v>
      </c>
      <c r="J22" s="133">
        <v>661055</v>
      </c>
      <c r="K22" s="133">
        <v>871873</v>
      </c>
    </row>
    <row r="23" spans="1:11" ht="12.75">
      <c r="A23" s="235" t="s">
        <v>179</v>
      </c>
      <c r="B23" s="236"/>
      <c r="C23" s="236"/>
      <c r="D23" s="236"/>
      <c r="E23" s="236"/>
      <c r="F23" s="236"/>
      <c r="G23" s="236"/>
      <c r="H23" s="236"/>
      <c r="I23" s="1">
        <v>16</v>
      </c>
      <c r="J23" s="133">
        <v>0</v>
      </c>
      <c r="K23" s="133">
        <v>0</v>
      </c>
    </row>
    <row r="24" spans="1:11" ht="12.75">
      <c r="A24" s="235" t="s">
        <v>180</v>
      </c>
      <c r="B24" s="236"/>
      <c r="C24" s="236"/>
      <c r="D24" s="236"/>
      <c r="E24" s="236"/>
      <c r="F24" s="236"/>
      <c r="G24" s="236"/>
      <c r="H24" s="236"/>
      <c r="I24" s="1">
        <v>17</v>
      </c>
      <c r="J24" s="133">
        <v>0</v>
      </c>
      <c r="K24" s="133">
        <v>0</v>
      </c>
    </row>
    <row r="25" spans="1:11" ht="12.75">
      <c r="A25" s="235" t="s">
        <v>181</v>
      </c>
      <c r="B25" s="236"/>
      <c r="C25" s="236"/>
      <c r="D25" s="236"/>
      <c r="E25" s="236"/>
      <c r="F25" s="236"/>
      <c r="G25" s="236"/>
      <c r="H25" s="236"/>
      <c r="I25" s="1">
        <v>18</v>
      </c>
      <c r="J25" s="133">
        <v>1139736</v>
      </c>
      <c r="K25" s="133">
        <v>162644</v>
      </c>
    </row>
    <row r="26" spans="1:11" ht="12.75">
      <c r="A26" s="235" t="s">
        <v>182</v>
      </c>
      <c r="B26" s="236"/>
      <c r="C26" s="236"/>
      <c r="D26" s="236"/>
      <c r="E26" s="236"/>
      <c r="F26" s="236"/>
      <c r="G26" s="236"/>
      <c r="H26" s="236"/>
      <c r="I26" s="1">
        <v>19</v>
      </c>
      <c r="J26" s="133">
        <v>0</v>
      </c>
      <c r="K26" s="133">
        <v>0</v>
      </c>
    </row>
    <row r="27" spans="1:11" ht="12.75">
      <c r="A27" s="238" t="s">
        <v>168</v>
      </c>
      <c r="B27" s="239"/>
      <c r="C27" s="239"/>
      <c r="D27" s="239"/>
      <c r="E27" s="239"/>
      <c r="F27" s="239"/>
      <c r="G27" s="239"/>
      <c r="H27" s="239"/>
      <c r="I27" s="1">
        <v>20</v>
      </c>
      <c r="J27" s="140">
        <f>SUM(J22:J26)</f>
        <v>1800791</v>
      </c>
      <c r="K27" s="134">
        <f>SUM(K22:K26)</f>
        <v>1034517</v>
      </c>
    </row>
    <row r="28" spans="1:11" ht="12.75">
      <c r="A28" s="235" t="s">
        <v>115</v>
      </c>
      <c r="B28" s="236"/>
      <c r="C28" s="236"/>
      <c r="D28" s="236"/>
      <c r="E28" s="236"/>
      <c r="F28" s="236"/>
      <c r="G28" s="236"/>
      <c r="H28" s="236"/>
      <c r="I28" s="1">
        <v>21</v>
      </c>
      <c r="J28" s="133">
        <v>114871770</v>
      </c>
      <c r="K28" s="133">
        <v>153428186</v>
      </c>
    </row>
    <row r="29" spans="1:11" ht="14.25" customHeight="1">
      <c r="A29" s="235" t="s">
        <v>116</v>
      </c>
      <c r="B29" s="236"/>
      <c r="C29" s="236"/>
      <c r="D29" s="236"/>
      <c r="E29" s="236"/>
      <c r="F29" s="236"/>
      <c r="G29" s="236"/>
      <c r="H29" s="236"/>
      <c r="I29" s="1">
        <v>22</v>
      </c>
      <c r="J29" s="133">
        <v>0</v>
      </c>
      <c r="K29" s="133">
        <v>0</v>
      </c>
    </row>
    <row r="30" spans="1:11" ht="12.75">
      <c r="A30" s="235" t="s">
        <v>16</v>
      </c>
      <c r="B30" s="236"/>
      <c r="C30" s="236"/>
      <c r="D30" s="236"/>
      <c r="E30" s="236"/>
      <c r="F30" s="236"/>
      <c r="G30" s="236"/>
      <c r="H30" s="236"/>
      <c r="I30" s="1">
        <v>23</v>
      </c>
      <c r="J30" s="133">
        <v>0</v>
      </c>
      <c r="K30" s="133">
        <v>0</v>
      </c>
    </row>
    <row r="31" spans="1:11" ht="12.75">
      <c r="A31" s="238" t="s">
        <v>5</v>
      </c>
      <c r="B31" s="239"/>
      <c r="C31" s="239"/>
      <c r="D31" s="239"/>
      <c r="E31" s="239"/>
      <c r="F31" s="239"/>
      <c r="G31" s="239"/>
      <c r="H31" s="239"/>
      <c r="I31" s="1">
        <v>24</v>
      </c>
      <c r="J31" s="140">
        <f>SUM(J28:J30)</f>
        <v>114871770</v>
      </c>
      <c r="K31" s="134">
        <f>SUM(K28:K30)</f>
        <v>153428186</v>
      </c>
    </row>
    <row r="32" spans="1:11" ht="26.25" customHeight="1">
      <c r="A32" s="238" t="s">
        <v>38</v>
      </c>
      <c r="B32" s="239"/>
      <c r="C32" s="239"/>
      <c r="D32" s="239"/>
      <c r="E32" s="239"/>
      <c r="F32" s="239"/>
      <c r="G32" s="239"/>
      <c r="H32" s="239"/>
      <c r="I32" s="1">
        <v>25</v>
      </c>
      <c r="J32" s="140">
        <f>IF(J27&gt;J31,J27-J31,0)</f>
        <v>0</v>
      </c>
      <c r="K32" s="134">
        <f>IF(K27&gt;K31,K27-K31,0)</f>
        <v>0</v>
      </c>
    </row>
    <row r="33" spans="1:11" ht="24.75" customHeight="1">
      <c r="A33" s="238" t="s">
        <v>39</v>
      </c>
      <c r="B33" s="239"/>
      <c r="C33" s="239"/>
      <c r="D33" s="239"/>
      <c r="E33" s="239"/>
      <c r="F33" s="239"/>
      <c r="G33" s="239"/>
      <c r="H33" s="239"/>
      <c r="I33" s="1">
        <v>26</v>
      </c>
      <c r="J33" s="140">
        <f>IF(J31&gt;J27,J31-J27,0)</f>
        <v>113070979</v>
      </c>
      <c r="K33" s="134">
        <f>IF(K31&gt;K27,K31-K27,0)</f>
        <v>152393669</v>
      </c>
    </row>
    <row r="34" spans="1:11" ht="12.75">
      <c r="A34" s="227" t="s">
        <v>160</v>
      </c>
      <c r="B34" s="228"/>
      <c r="C34" s="228"/>
      <c r="D34" s="228"/>
      <c r="E34" s="228"/>
      <c r="F34" s="228"/>
      <c r="G34" s="228"/>
      <c r="H34" s="228"/>
      <c r="I34" s="290"/>
      <c r="J34" s="290"/>
      <c r="K34" s="291"/>
    </row>
    <row r="35" spans="1:11" ht="12.75">
      <c r="A35" s="235" t="s">
        <v>174</v>
      </c>
      <c r="B35" s="236"/>
      <c r="C35" s="236"/>
      <c r="D35" s="236"/>
      <c r="E35" s="236"/>
      <c r="F35" s="236"/>
      <c r="G35" s="236"/>
      <c r="H35" s="236"/>
      <c r="I35" s="1">
        <v>27</v>
      </c>
      <c r="J35" s="133">
        <v>0</v>
      </c>
      <c r="K35" s="133">
        <v>0</v>
      </c>
    </row>
    <row r="36" spans="1:11" ht="12.75">
      <c r="A36" s="235" t="s">
        <v>29</v>
      </c>
      <c r="B36" s="236"/>
      <c r="C36" s="236"/>
      <c r="D36" s="236"/>
      <c r="E36" s="236"/>
      <c r="F36" s="236"/>
      <c r="G36" s="236"/>
      <c r="H36" s="236"/>
      <c r="I36" s="1">
        <v>28</v>
      </c>
      <c r="J36" s="133">
        <v>29850000</v>
      </c>
      <c r="K36" s="133">
        <v>37450000</v>
      </c>
    </row>
    <row r="37" spans="1:11" ht="12.75">
      <c r="A37" s="235" t="s">
        <v>30</v>
      </c>
      <c r="B37" s="236"/>
      <c r="C37" s="236"/>
      <c r="D37" s="236"/>
      <c r="E37" s="236"/>
      <c r="F37" s="236"/>
      <c r="G37" s="236"/>
      <c r="H37" s="236"/>
      <c r="I37" s="1">
        <v>29</v>
      </c>
      <c r="J37" s="133">
        <v>0</v>
      </c>
      <c r="K37" s="133">
        <v>0</v>
      </c>
    </row>
    <row r="38" spans="1:11" ht="12.75">
      <c r="A38" s="238" t="s">
        <v>68</v>
      </c>
      <c r="B38" s="239"/>
      <c r="C38" s="239"/>
      <c r="D38" s="239"/>
      <c r="E38" s="239"/>
      <c r="F38" s="239"/>
      <c r="G38" s="239"/>
      <c r="H38" s="239"/>
      <c r="I38" s="1">
        <v>30</v>
      </c>
      <c r="J38" s="140">
        <f>SUM(J35:J37)</f>
        <v>29850000</v>
      </c>
      <c r="K38" s="134">
        <f>SUM(K35:K37)</f>
        <v>37450000</v>
      </c>
    </row>
    <row r="39" spans="1:11" ht="12.75">
      <c r="A39" s="235" t="s">
        <v>31</v>
      </c>
      <c r="B39" s="236"/>
      <c r="C39" s="236"/>
      <c r="D39" s="236"/>
      <c r="E39" s="236"/>
      <c r="F39" s="236"/>
      <c r="G39" s="236"/>
      <c r="H39" s="236"/>
      <c r="I39" s="1">
        <v>31</v>
      </c>
      <c r="J39" s="133">
        <v>51598328</v>
      </c>
      <c r="K39" s="133">
        <v>23924390</v>
      </c>
    </row>
    <row r="40" spans="1:11" ht="12.75">
      <c r="A40" s="235" t="s">
        <v>32</v>
      </c>
      <c r="B40" s="236"/>
      <c r="C40" s="236"/>
      <c r="D40" s="236"/>
      <c r="E40" s="236"/>
      <c r="F40" s="236"/>
      <c r="G40" s="236"/>
      <c r="H40" s="236"/>
      <c r="I40" s="1">
        <v>32</v>
      </c>
      <c r="J40" s="133">
        <v>0</v>
      </c>
      <c r="K40" s="133">
        <v>0</v>
      </c>
    </row>
    <row r="41" spans="1:11" ht="12.75">
      <c r="A41" s="235" t="s">
        <v>33</v>
      </c>
      <c r="B41" s="236"/>
      <c r="C41" s="236"/>
      <c r="D41" s="236"/>
      <c r="E41" s="236"/>
      <c r="F41" s="236"/>
      <c r="G41" s="236"/>
      <c r="H41" s="236"/>
      <c r="I41" s="1">
        <v>33</v>
      </c>
      <c r="J41" s="133">
        <v>46008</v>
      </c>
      <c r="K41" s="133">
        <v>2335</v>
      </c>
    </row>
    <row r="42" spans="1:11" ht="12.75">
      <c r="A42" s="235" t="s">
        <v>34</v>
      </c>
      <c r="B42" s="236"/>
      <c r="C42" s="236"/>
      <c r="D42" s="236"/>
      <c r="E42" s="236"/>
      <c r="F42" s="236"/>
      <c r="G42" s="236"/>
      <c r="H42" s="236"/>
      <c r="I42" s="1">
        <v>34</v>
      </c>
      <c r="J42" s="133">
        <v>0</v>
      </c>
      <c r="K42" s="133">
        <v>0</v>
      </c>
    </row>
    <row r="43" spans="1:11" ht="12.75">
      <c r="A43" s="235" t="s">
        <v>35</v>
      </c>
      <c r="B43" s="236"/>
      <c r="C43" s="236"/>
      <c r="D43" s="236"/>
      <c r="E43" s="236"/>
      <c r="F43" s="236"/>
      <c r="G43" s="236"/>
      <c r="H43" s="236"/>
      <c r="I43" s="1">
        <v>35</v>
      </c>
      <c r="J43" s="133">
        <v>7326008</v>
      </c>
      <c r="K43" s="133">
        <v>4678111</v>
      </c>
    </row>
    <row r="44" spans="1:11" ht="12.75">
      <c r="A44" s="238" t="s">
        <v>69</v>
      </c>
      <c r="B44" s="239"/>
      <c r="C44" s="239"/>
      <c r="D44" s="239"/>
      <c r="E44" s="239"/>
      <c r="F44" s="239"/>
      <c r="G44" s="239"/>
      <c r="H44" s="239"/>
      <c r="I44" s="1">
        <v>36</v>
      </c>
      <c r="J44" s="140">
        <f>SUM(J39:J43)</f>
        <v>58970344</v>
      </c>
      <c r="K44" s="134">
        <f>SUM(K39:K43)</f>
        <v>28604836</v>
      </c>
    </row>
    <row r="45" spans="1:11" ht="26.25" customHeight="1">
      <c r="A45" s="238" t="s">
        <v>17</v>
      </c>
      <c r="B45" s="239"/>
      <c r="C45" s="239"/>
      <c r="D45" s="239"/>
      <c r="E45" s="239"/>
      <c r="F45" s="239"/>
      <c r="G45" s="239"/>
      <c r="H45" s="239"/>
      <c r="I45" s="1">
        <v>37</v>
      </c>
      <c r="J45" s="140">
        <f>IF(J38&gt;J44,J38-J44,0)</f>
        <v>0</v>
      </c>
      <c r="K45" s="134">
        <f>IF(K38&gt;K44,K38-K44,0)</f>
        <v>8845164</v>
      </c>
    </row>
    <row r="46" spans="1:11" ht="26.25" customHeight="1">
      <c r="A46" s="238" t="s">
        <v>18</v>
      </c>
      <c r="B46" s="239"/>
      <c r="C46" s="239"/>
      <c r="D46" s="239"/>
      <c r="E46" s="239"/>
      <c r="F46" s="239"/>
      <c r="G46" s="239"/>
      <c r="H46" s="239"/>
      <c r="I46" s="1">
        <v>38</v>
      </c>
      <c r="J46" s="140">
        <f>IF(J44&gt;J38,J44-J38,0)</f>
        <v>29120344</v>
      </c>
      <c r="K46" s="134">
        <f>IF(K44&gt;K38,K44-K38,0)</f>
        <v>0</v>
      </c>
    </row>
    <row r="47" spans="1:11" ht="12.75">
      <c r="A47" s="235" t="s">
        <v>70</v>
      </c>
      <c r="B47" s="236"/>
      <c r="C47" s="236"/>
      <c r="D47" s="236"/>
      <c r="E47" s="236"/>
      <c r="F47" s="236"/>
      <c r="G47" s="236"/>
      <c r="H47" s="236"/>
      <c r="I47" s="1">
        <v>39</v>
      </c>
      <c r="J47" s="141">
        <f>IF(J19-J20+J32-J33+J45-J46&gt;0,J19-J20+J32-J33+J45-J46,0)</f>
        <v>0</v>
      </c>
      <c r="K47" s="135">
        <f>IF(K19-K20+K32-K33+K45-K46&gt;0,K19-K20+K32-K33+K45-K46,0)</f>
        <v>8393672</v>
      </c>
    </row>
    <row r="48" spans="1:11" ht="12.75">
      <c r="A48" s="235" t="s">
        <v>71</v>
      </c>
      <c r="B48" s="236"/>
      <c r="C48" s="236"/>
      <c r="D48" s="236"/>
      <c r="E48" s="236"/>
      <c r="F48" s="236"/>
      <c r="G48" s="236"/>
      <c r="H48" s="236"/>
      <c r="I48" s="1">
        <v>40</v>
      </c>
      <c r="J48" s="141">
        <f>IF(J20-J19+J33-J32+J46-J45&gt;0,J20-J19+J33-J32+J46-J45,0)</f>
        <v>1845456</v>
      </c>
      <c r="K48" s="135">
        <f>IF(K20-K19+K33-K32+K46-K45&gt;0,K20-K19+K33-K32+K46-K45,0)</f>
        <v>0</v>
      </c>
    </row>
    <row r="49" spans="1:11" ht="12.75">
      <c r="A49" s="235" t="s">
        <v>161</v>
      </c>
      <c r="B49" s="236"/>
      <c r="C49" s="236"/>
      <c r="D49" s="236"/>
      <c r="E49" s="236"/>
      <c r="F49" s="236"/>
      <c r="G49" s="236"/>
      <c r="H49" s="236"/>
      <c r="I49" s="1">
        <v>41</v>
      </c>
      <c r="J49" s="133">
        <v>31937762</v>
      </c>
      <c r="K49" s="133">
        <v>30092306</v>
      </c>
    </row>
    <row r="50" spans="1:11" ht="12.75">
      <c r="A50" s="235" t="s">
        <v>175</v>
      </c>
      <c r="B50" s="236"/>
      <c r="C50" s="236"/>
      <c r="D50" s="236"/>
      <c r="E50" s="236"/>
      <c r="F50" s="236"/>
      <c r="G50" s="236"/>
      <c r="H50" s="236"/>
      <c r="I50" s="1">
        <v>42</v>
      </c>
      <c r="J50" s="133">
        <v>0</v>
      </c>
      <c r="K50" s="133">
        <v>8393672</v>
      </c>
    </row>
    <row r="51" spans="1:11" ht="12.75">
      <c r="A51" s="235" t="s">
        <v>176</v>
      </c>
      <c r="B51" s="236"/>
      <c r="C51" s="236"/>
      <c r="D51" s="236"/>
      <c r="E51" s="236"/>
      <c r="F51" s="236"/>
      <c r="G51" s="236"/>
      <c r="H51" s="236"/>
      <c r="I51" s="1">
        <v>43</v>
      </c>
      <c r="J51" s="133">
        <v>1845456</v>
      </c>
      <c r="K51" s="133">
        <v>0</v>
      </c>
    </row>
    <row r="52" spans="1:11" ht="12.75">
      <c r="A52" s="244" t="s">
        <v>177</v>
      </c>
      <c r="B52" s="245"/>
      <c r="C52" s="245"/>
      <c r="D52" s="245"/>
      <c r="E52" s="245"/>
      <c r="F52" s="245"/>
      <c r="G52" s="245"/>
      <c r="H52" s="245"/>
      <c r="I52" s="3">
        <v>44</v>
      </c>
      <c r="J52" s="142">
        <f>J49+J50-J51</f>
        <v>30092306</v>
      </c>
      <c r="K52" s="137">
        <f>K49+K50-K51</f>
        <v>38485978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P24" sqref="P24"/>
    </sheetView>
  </sheetViews>
  <sheetFormatPr defaultColWidth="8.421875" defaultRowHeight="12.75"/>
  <cols>
    <col min="1" max="16384" width="8.421875" style="47" customWidth="1"/>
  </cols>
  <sheetData>
    <row r="1" spans="1:11" ht="12.75" customHeight="1">
      <c r="A1" s="296" t="s">
        <v>197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305" t="s">
        <v>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>
      <c r="A3" s="304" t="s">
        <v>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33.75">
      <c r="A4" s="298" t="s">
        <v>59</v>
      </c>
      <c r="B4" s="298"/>
      <c r="C4" s="298"/>
      <c r="D4" s="298"/>
      <c r="E4" s="298"/>
      <c r="F4" s="298"/>
      <c r="G4" s="298"/>
      <c r="H4" s="298"/>
      <c r="I4" s="60" t="s">
        <v>279</v>
      </c>
      <c r="J4" s="61" t="s">
        <v>319</v>
      </c>
      <c r="K4" s="61" t="s">
        <v>320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66">
        <v>2</v>
      </c>
      <c r="J5" s="67" t="s">
        <v>283</v>
      </c>
      <c r="K5" s="67" t="s">
        <v>284</v>
      </c>
    </row>
    <row r="6" spans="1:11" ht="12.75">
      <c r="A6" s="227" t="s">
        <v>156</v>
      </c>
      <c r="B6" s="228"/>
      <c r="C6" s="228"/>
      <c r="D6" s="228"/>
      <c r="E6" s="228"/>
      <c r="F6" s="228"/>
      <c r="G6" s="228"/>
      <c r="H6" s="228"/>
      <c r="I6" s="290"/>
      <c r="J6" s="290"/>
      <c r="K6" s="291"/>
    </row>
    <row r="7" spans="1:11" ht="12.75">
      <c r="A7" s="235" t="s">
        <v>199</v>
      </c>
      <c r="B7" s="236"/>
      <c r="C7" s="236"/>
      <c r="D7" s="236"/>
      <c r="E7" s="236"/>
      <c r="F7" s="236"/>
      <c r="G7" s="236"/>
      <c r="H7" s="236"/>
      <c r="I7" s="1">
        <v>1</v>
      </c>
      <c r="J7" s="4"/>
      <c r="K7" s="5"/>
    </row>
    <row r="8" spans="1:11" ht="12.75">
      <c r="A8" s="235" t="s">
        <v>119</v>
      </c>
      <c r="B8" s="236"/>
      <c r="C8" s="236"/>
      <c r="D8" s="236"/>
      <c r="E8" s="236"/>
      <c r="F8" s="236"/>
      <c r="G8" s="236"/>
      <c r="H8" s="236"/>
      <c r="I8" s="1">
        <v>2</v>
      </c>
      <c r="J8" s="4"/>
      <c r="K8" s="5"/>
    </row>
    <row r="9" spans="1:11" ht="12.75">
      <c r="A9" s="235" t="s">
        <v>120</v>
      </c>
      <c r="B9" s="236"/>
      <c r="C9" s="236"/>
      <c r="D9" s="236"/>
      <c r="E9" s="236"/>
      <c r="F9" s="236"/>
      <c r="G9" s="236"/>
      <c r="H9" s="236"/>
      <c r="I9" s="1">
        <v>3</v>
      </c>
      <c r="J9" s="4"/>
      <c r="K9" s="5"/>
    </row>
    <row r="10" spans="1:11" ht="12.75">
      <c r="A10" s="235" t="s">
        <v>121</v>
      </c>
      <c r="B10" s="236"/>
      <c r="C10" s="236"/>
      <c r="D10" s="236"/>
      <c r="E10" s="236"/>
      <c r="F10" s="236"/>
      <c r="G10" s="236"/>
      <c r="H10" s="236"/>
      <c r="I10" s="1">
        <v>4</v>
      </c>
      <c r="J10" s="4"/>
      <c r="K10" s="5"/>
    </row>
    <row r="11" spans="1:11" ht="12.75">
      <c r="A11" s="235" t="s">
        <v>122</v>
      </c>
      <c r="B11" s="236"/>
      <c r="C11" s="236"/>
      <c r="D11" s="236"/>
      <c r="E11" s="236"/>
      <c r="F11" s="236"/>
      <c r="G11" s="236"/>
      <c r="H11" s="236"/>
      <c r="I11" s="1">
        <v>5</v>
      </c>
      <c r="J11" s="4"/>
      <c r="K11" s="5"/>
    </row>
    <row r="12" spans="1:11" ht="12.75">
      <c r="A12" s="238" t="s">
        <v>198</v>
      </c>
      <c r="B12" s="239"/>
      <c r="C12" s="239"/>
      <c r="D12" s="239"/>
      <c r="E12" s="239"/>
      <c r="F12" s="239"/>
      <c r="G12" s="239"/>
      <c r="H12" s="239"/>
      <c r="I12" s="1">
        <v>6</v>
      </c>
      <c r="J12" s="58">
        <f>SUM(J7:J11)</f>
        <v>0</v>
      </c>
      <c r="K12" s="48">
        <f>SUM(K7:K11)</f>
        <v>0</v>
      </c>
    </row>
    <row r="13" spans="1:11" ht="12.75">
      <c r="A13" s="235" t="s">
        <v>123</v>
      </c>
      <c r="B13" s="236"/>
      <c r="C13" s="236"/>
      <c r="D13" s="236"/>
      <c r="E13" s="236"/>
      <c r="F13" s="236"/>
      <c r="G13" s="236"/>
      <c r="H13" s="236"/>
      <c r="I13" s="1">
        <v>7</v>
      </c>
      <c r="J13" s="4"/>
      <c r="K13" s="5"/>
    </row>
    <row r="14" spans="1:11" ht="12.75">
      <c r="A14" s="235" t="s">
        <v>124</v>
      </c>
      <c r="B14" s="236"/>
      <c r="C14" s="236"/>
      <c r="D14" s="236"/>
      <c r="E14" s="236"/>
      <c r="F14" s="236"/>
      <c r="G14" s="236"/>
      <c r="H14" s="236"/>
      <c r="I14" s="1">
        <v>8</v>
      </c>
      <c r="J14" s="4"/>
      <c r="K14" s="5"/>
    </row>
    <row r="15" spans="1:11" ht="12.75">
      <c r="A15" s="235" t="s">
        <v>125</v>
      </c>
      <c r="B15" s="236"/>
      <c r="C15" s="236"/>
      <c r="D15" s="236"/>
      <c r="E15" s="236"/>
      <c r="F15" s="236"/>
      <c r="G15" s="236"/>
      <c r="H15" s="236"/>
      <c r="I15" s="1">
        <v>9</v>
      </c>
      <c r="J15" s="4"/>
      <c r="K15" s="5"/>
    </row>
    <row r="16" spans="1:11" ht="12.75">
      <c r="A16" s="235" t="s">
        <v>126</v>
      </c>
      <c r="B16" s="236"/>
      <c r="C16" s="236"/>
      <c r="D16" s="236"/>
      <c r="E16" s="236"/>
      <c r="F16" s="236"/>
      <c r="G16" s="236"/>
      <c r="H16" s="236"/>
      <c r="I16" s="1">
        <v>10</v>
      </c>
      <c r="J16" s="4"/>
      <c r="K16" s="5"/>
    </row>
    <row r="17" spans="1:11" ht="12.75">
      <c r="A17" s="235" t="s">
        <v>127</v>
      </c>
      <c r="B17" s="236"/>
      <c r="C17" s="236"/>
      <c r="D17" s="236"/>
      <c r="E17" s="236"/>
      <c r="F17" s="236"/>
      <c r="G17" s="236"/>
      <c r="H17" s="236"/>
      <c r="I17" s="1">
        <v>11</v>
      </c>
      <c r="J17" s="4"/>
      <c r="K17" s="5"/>
    </row>
    <row r="18" spans="1:11" ht="12.75">
      <c r="A18" s="235" t="s">
        <v>128</v>
      </c>
      <c r="B18" s="236"/>
      <c r="C18" s="236"/>
      <c r="D18" s="236"/>
      <c r="E18" s="236"/>
      <c r="F18" s="236"/>
      <c r="G18" s="236"/>
      <c r="H18" s="236"/>
      <c r="I18" s="1">
        <v>12</v>
      </c>
      <c r="J18" s="4"/>
      <c r="K18" s="5"/>
    </row>
    <row r="19" spans="1:11" ht="12.75">
      <c r="A19" s="238" t="s">
        <v>47</v>
      </c>
      <c r="B19" s="239"/>
      <c r="C19" s="239"/>
      <c r="D19" s="239"/>
      <c r="E19" s="239"/>
      <c r="F19" s="239"/>
      <c r="G19" s="239"/>
      <c r="H19" s="239"/>
      <c r="I19" s="1">
        <v>13</v>
      </c>
      <c r="J19" s="58">
        <f>SUM(J13:J18)</f>
        <v>0</v>
      </c>
      <c r="K19" s="48">
        <f>SUM(K13:K18)</f>
        <v>0</v>
      </c>
    </row>
    <row r="20" spans="1:11" ht="12.75">
      <c r="A20" s="238" t="s">
        <v>108</v>
      </c>
      <c r="B20" s="301"/>
      <c r="C20" s="301"/>
      <c r="D20" s="301"/>
      <c r="E20" s="301"/>
      <c r="F20" s="301"/>
      <c r="G20" s="301"/>
      <c r="H20" s="302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ht="12.75">
      <c r="A21" s="241" t="s">
        <v>109</v>
      </c>
      <c r="B21" s="299"/>
      <c r="C21" s="299"/>
      <c r="D21" s="299"/>
      <c r="E21" s="299"/>
      <c r="F21" s="299"/>
      <c r="G21" s="299"/>
      <c r="H21" s="300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ht="12.75">
      <c r="A22" s="227" t="s">
        <v>159</v>
      </c>
      <c r="B22" s="228"/>
      <c r="C22" s="228"/>
      <c r="D22" s="228"/>
      <c r="E22" s="228"/>
      <c r="F22" s="228"/>
      <c r="G22" s="228"/>
      <c r="H22" s="228"/>
      <c r="I22" s="290"/>
      <c r="J22" s="290"/>
      <c r="K22" s="291"/>
    </row>
    <row r="23" spans="1:11" ht="12.75">
      <c r="A23" s="235" t="s">
        <v>165</v>
      </c>
      <c r="B23" s="236"/>
      <c r="C23" s="236"/>
      <c r="D23" s="236"/>
      <c r="E23" s="236"/>
      <c r="F23" s="236"/>
      <c r="G23" s="236"/>
      <c r="H23" s="236"/>
      <c r="I23" s="1">
        <v>16</v>
      </c>
      <c r="J23" s="4"/>
      <c r="K23" s="5"/>
    </row>
    <row r="24" spans="1:11" ht="12.75">
      <c r="A24" s="235" t="s">
        <v>166</v>
      </c>
      <c r="B24" s="236"/>
      <c r="C24" s="236"/>
      <c r="D24" s="236"/>
      <c r="E24" s="236"/>
      <c r="F24" s="236"/>
      <c r="G24" s="236"/>
      <c r="H24" s="236"/>
      <c r="I24" s="1">
        <v>17</v>
      </c>
      <c r="J24" s="4"/>
      <c r="K24" s="5"/>
    </row>
    <row r="25" spans="1:11" ht="12.75">
      <c r="A25" s="235" t="s">
        <v>321</v>
      </c>
      <c r="B25" s="236"/>
      <c r="C25" s="236"/>
      <c r="D25" s="236"/>
      <c r="E25" s="236"/>
      <c r="F25" s="236"/>
      <c r="G25" s="236"/>
      <c r="H25" s="236"/>
      <c r="I25" s="1">
        <v>18</v>
      </c>
      <c r="J25" s="4"/>
      <c r="K25" s="5"/>
    </row>
    <row r="26" spans="1:11" ht="12.75">
      <c r="A26" s="235" t="s">
        <v>322</v>
      </c>
      <c r="B26" s="236"/>
      <c r="C26" s="236"/>
      <c r="D26" s="236"/>
      <c r="E26" s="236"/>
      <c r="F26" s="236"/>
      <c r="G26" s="236"/>
      <c r="H26" s="236"/>
      <c r="I26" s="1">
        <v>19</v>
      </c>
      <c r="J26" s="4"/>
      <c r="K26" s="5"/>
    </row>
    <row r="27" spans="1:11" ht="12.75">
      <c r="A27" s="235" t="s">
        <v>167</v>
      </c>
      <c r="B27" s="236"/>
      <c r="C27" s="236"/>
      <c r="D27" s="236"/>
      <c r="E27" s="236"/>
      <c r="F27" s="236"/>
      <c r="G27" s="236"/>
      <c r="H27" s="236"/>
      <c r="I27" s="1">
        <v>20</v>
      </c>
      <c r="J27" s="4"/>
      <c r="K27" s="5"/>
    </row>
    <row r="28" spans="1:11" ht="12.75">
      <c r="A28" s="238" t="s">
        <v>114</v>
      </c>
      <c r="B28" s="239"/>
      <c r="C28" s="239"/>
      <c r="D28" s="239"/>
      <c r="E28" s="239"/>
      <c r="F28" s="239"/>
      <c r="G28" s="239"/>
      <c r="H28" s="239"/>
      <c r="I28" s="1">
        <v>21</v>
      </c>
      <c r="J28" s="58">
        <f>SUM(J23:J27)</f>
        <v>0</v>
      </c>
      <c r="K28" s="48">
        <f>SUM(K23:K27)</f>
        <v>0</v>
      </c>
    </row>
    <row r="29" spans="1:11" ht="12.75">
      <c r="A29" s="235" t="s">
        <v>2</v>
      </c>
      <c r="B29" s="236"/>
      <c r="C29" s="236"/>
      <c r="D29" s="236"/>
      <c r="E29" s="236"/>
      <c r="F29" s="236"/>
      <c r="G29" s="236"/>
      <c r="H29" s="236"/>
      <c r="I29" s="1">
        <v>22</v>
      </c>
      <c r="J29" s="4"/>
      <c r="K29" s="5"/>
    </row>
    <row r="30" spans="1:11" ht="12.75">
      <c r="A30" s="235" t="s">
        <v>3</v>
      </c>
      <c r="B30" s="236"/>
      <c r="C30" s="236"/>
      <c r="D30" s="236"/>
      <c r="E30" s="236"/>
      <c r="F30" s="236"/>
      <c r="G30" s="236"/>
      <c r="H30" s="236"/>
      <c r="I30" s="1">
        <v>23</v>
      </c>
      <c r="J30" s="4"/>
      <c r="K30" s="5"/>
    </row>
    <row r="31" spans="1:11" ht="12.75">
      <c r="A31" s="235" t="s">
        <v>4</v>
      </c>
      <c r="B31" s="236"/>
      <c r="C31" s="236"/>
      <c r="D31" s="236"/>
      <c r="E31" s="236"/>
      <c r="F31" s="236"/>
      <c r="G31" s="236"/>
      <c r="H31" s="236"/>
      <c r="I31" s="1">
        <v>24</v>
      </c>
      <c r="J31" s="4"/>
      <c r="K31" s="5"/>
    </row>
    <row r="32" spans="1:11" ht="12.75">
      <c r="A32" s="238" t="s">
        <v>48</v>
      </c>
      <c r="B32" s="239"/>
      <c r="C32" s="239"/>
      <c r="D32" s="239"/>
      <c r="E32" s="239"/>
      <c r="F32" s="239"/>
      <c r="G32" s="239"/>
      <c r="H32" s="239"/>
      <c r="I32" s="1">
        <v>25</v>
      </c>
      <c r="J32" s="58">
        <f>SUM(J29:J31)</f>
        <v>0</v>
      </c>
      <c r="K32" s="48">
        <f>SUM(K29:K31)</f>
        <v>0</v>
      </c>
    </row>
    <row r="33" spans="1:11" ht="12.75">
      <c r="A33" s="238" t="s">
        <v>110</v>
      </c>
      <c r="B33" s="239"/>
      <c r="C33" s="239"/>
      <c r="D33" s="239"/>
      <c r="E33" s="239"/>
      <c r="F33" s="239"/>
      <c r="G33" s="239"/>
      <c r="H33" s="239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ht="12.75">
      <c r="A34" s="238" t="s">
        <v>111</v>
      </c>
      <c r="B34" s="239"/>
      <c r="C34" s="239"/>
      <c r="D34" s="239"/>
      <c r="E34" s="239"/>
      <c r="F34" s="239"/>
      <c r="G34" s="239"/>
      <c r="H34" s="239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ht="12.75">
      <c r="A35" s="227" t="s">
        <v>160</v>
      </c>
      <c r="B35" s="228"/>
      <c r="C35" s="228"/>
      <c r="D35" s="228"/>
      <c r="E35" s="228"/>
      <c r="F35" s="228"/>
      <c r="G35" s="228"/>
      <c r="H35" s="228"/>
      <c r="I35" s="290">
        <v>0</v>
      </c>
      <c r="J35" s="290"/>
      <c r="K35" s="291"/>
    </row>
    <row r="36" spans="1:11" ht="12.75">
      <c r="A36" s="235" t="s">
        <v>174</v>
      </c>
      <c r="B36" s="236"/>
      <c r="C36" s="236"/>
      <c r="D36" s="236"/>
      <c r="E36" s="236"/>
      <c r="F36" s="236"/>
      <c r="G36" s="236"/>
      <c r="H36" s="236"/>
      <c r="I36" s="1">
        <v>28</v>
      </c>
      <c r="J36" s="4"/>
      <c r="K36" s="5"/>
    </row>
    <row r="37" spans="1:11" ht="12.75">
      <c r="A37" s="235" t="s">
        <v>29</v>
      </c>
      <c r="B37" s="236"/>
      <c r="C37" s="236"/>
      <c r="D37" s="236"/>
      <c r="E37" s="236"/>
      <c r="F37" s="236"/>
      <c r="G37" s="236"/>
      <c r="H37" s="236"/>
      <c r="I37" s="1">
        <v>29</v>
      </c>
      <c r="J37" s="4"/>
      <c r="K37" s="5"/>
    </row>
    <row r="38" spans="1:11" ht="12.75">
      <c r="A38" s="235" t="s">
        <v>30</v>
      </c>
      <c r="B38" s="236"/>
      <c r="C38" s="236"/>
      <c r="D38" s="236"/>
      <c r="E38" s="236"/>
      <c r="F38" s="236"/>
      <c r="G38" s="236"/>
      <c r="H38" s="236"/>
      <c r="I38" s="1">
        <v>30</v>
      </c>
      <c r="J38" s="4"/>
      <c r="K38" s="5"/>
    </row>
    <row r="39" spans="1:11" ht="12.75">
      <c r="A39" s="238" t="s">
        <v>49</v>
      </c>
      <c r="B39" s="239"/>
      <c r="C39" s="239"/>
      <c r="D39" s="239"/>
      <c r="E39" s="239"/>
      <c r="F39" s="239"/>
      <c r="G39" s="239"/>
      <c r="H39" s="239"/>
      <c r="I39" s="1">
        <v>31</v>
      </c>
      <c r="J39" s="58">
        <f>SUM(J36:J38)</f>
        <v>0</v>
      </c>
      <c r="K39" s="48">
        <f>SUM(K36:K38)</f>
        <v>0</v>
      </c>
    </row>
    <row r="40" spans="1:11" ht="12.75">
      <c r="A40" s="235" t="s">
        <v>31</v>
      </c>
      <c r="B40" s="236"/>
      <c r="C40" s="236"/>
      <c r="D40" s="236"/>
      <c r="E40" s="236"/>
      <c r="F40" s="236"/>
      <c r="G40" s="236"/>
      <c r="H40" s="236"/>
      <c r="I40" s="1">
        <v>32</v>
      </c>
      <c r="J40" s="4"/>
      <c r="K40" s="5"/>
    </row>
    <row r="41" spans="1:11" ht="12.75">
      <c r="A41" s="235" t="s">
        <v>32</v>
      </c>
      <c r="B41" s="236"/>
      <c r="C41" s="236"/>
      <c r="D41" s="236"/>
      <c r="E41" s="236"/>
      <c r="F41" s="236"/>
      <c r="G41" s="236"/>
      <c r="H41" s="236"/>
      <c r="I41" s="1">
        <v>33</v>
      </c>
      <c r="J41" s="4"/>
      <c r="K41" s="5"/>
    </row>
    <row r="42" spans="1:11" ht="12.75">
      <c r="A42" s="235" t="s">
        <v>33</v>
      </c>
      <c r="B42" s="236"/>
      <c r="C42" s="236"/>
      <c r="D42" s="236"/>
      <c r="E42" s="236"/>
      <c r="F42" s="236"/>
      <c r="G42" s="236"/>
      <c r="H42" s="236"/>
      <c r="I42" s="1">
        <v>34</v>
      </c>
      <c r="J42" s="4"/>
      <c r="K42" s="5"/>
    </row>
    <row r="43" spans="1:11" ht="12.75">
      <c r="A43" s="235" t="s">
        <v>34</v>
      </c>
      <c r="B43" s="236"/>
      <c r="C43" s="236"/>
      <c r="D43" s="236"/>
      <c r="E43" s="236"/>
      <c r="F43" s="236"/>
      <c r="G43" s="236"/>
      <c r="H43" s="236"/>
      <c r="I43" s="1">
        <v>35</v>
      </c>
      <c r="J43" s="4"/>
      <c r="K43" s="5"/>
    </row>
    <row r="44" spans="1:11" ht="12.75">
      <c r="A44" s="235" t="s">
        <v>35</v>
      </c>
      <c r="B44" s="236"/>
      <c r="C44" s="236"/>
      <c r="D44" s="236"/>
      <c r="E44" s="236"/>
      <c r="F44" s="236"/>
      <c r="G44" s="236"/>
      <c r="H44" s="236"/>
      <c r="I44" s="1">
        <v>36</v>
      </c>
      <c r="J44" s="4"/>
      <c r="K44" s="5"/>
    </row>
    <row r="45" spans="1:11" ht="12.75">
      <c r="A45" s="238" t="s">
        <v>148</v>
      </c>
      <c r="B45" s="239"/>
      <c r="C45" s="239"/>
      <c r="D45" s="239"/>
      <c r="E45" s="239"/>
      <c r="F45" s="239"/>
      <c r="G45" s="239"/>
      <c r="H45" s="239"/>
      <c r="I45" s="1">
        <v>37</v>
      </c>
      <c r="J45" s="58">
        <f>SUM(J40:J44)</f>
        <v>0</v>
      </c>
      <c r="K45" s="48">
        <f>SUM(K40:K44)</f>
        <v>0</v>
      </c>
    </row>
    <row r="46" spans="1:11" ht="12.75">
      <c r="A46" s="238" t="s">
        <v>162</v>
      </c>
      <c r="B46" s="239"/>
      <c r="C46" s="239"/>
      <c r="D46" s="239"/>
      <c r="E46" s="239"/>
      <c r="F46" s="239"/>
      <c r="G46" s="239"/>
      <c r="H46" s="239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ht="12.75">
      <c r="A47" s="238" t="s">
        <v>163</v>
      </c>
      <c r="B47" s="239"/>
      <c r="C47" s="239"/>
      <c r="D47" s="239"/>
      <c r="E47" s="239"/>
      <c r="F47" s="239"/>
      <c r="G47" s="239"/>
      <c r="H47" s="239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ht="12.75">
      <c r="A48" s="238" t="s">
        <v>149</v>
      </c>
      <c r="B48" s="239"/>
      <c r="C48" s="239"/>
      <c r="D48" s="239"/>
      <c r="E48" s="239"/>
      <c r="F48" s="239"/>
      <c r="G48" s="239"/>
      <c r="H48" s="239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38" t="s">
        <v>15</v>
      </c>
      <c r="B49" s="239"/>
      <c r="C49" s="239"/>
      <c r="D49" s="239"/>
      <c r="E49" s="239"/>
      <c r="F49" s="239"/>
      <c r="G49" s="239"/>
      <c r="H49" s="239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38" t="s">
        <v>161</v>
      </c>
      <c r="B50" s="239"/>
      <c r="C50" s="239"/>
      <c r="D50" s="239"/>
      <c r="E50" s="239"/>
      <c r="F50" s="239"/>
      <c r="G50" s="239"/>
      <c r="H50" s="239"/>
      <c r="I50" s="1">
        <v>42</v>
      </c>
      <c r="J50" s="4"/>
      <c r="K50" s="5"/>
    </row>
    <row r="51" spans="1:11" ht="12.75">
      <c r="A51" s="238" t="s">
        <v>175</v>
      </c>
      <c r="B51" s="239"/>
      <c r="C51" s="239"/>
      <c r="D51" s="239"/>
      <c r="E51" s="239"/>
      <c r="F51" s="239"/>
      <c r="G51" s="239"/>
      <c r="H51" s="239"/>
      <c r="I51" s="1">
        <v>43</v>
      </c>
      <c r="J51" s="4"/>
      <c r="K51" s="5"/>
    </row>
    <row r="52" spans="1:11" ht="12.75">
      <c r="A52" s="238" t="s">
        <v>176</v>
      </c>
      <c r="B52" s="239"/>
      <c r="C52" s="239"/>
      <c r="D52" s="239"/>
      <c r="E52" s="239"/>
      <c r="F52" s="239"/>
      <c r="G52" s="239"/>
      <c r="H52" s="239"/>
      <c r="I52" s="1">
        <v>44</v>
      </c>
      <c r="J52" s="4"/>
      <c r="K52" s="5"/>
    </row>
    <row r="53" spans="1:11" ht="12.75">
      <c r="A53" s="241" t="s">
        <v>177</v>
      </c>
      <c r="B53" s="242"/>
      <c r="C53" s="242"/>
      <c r="D53" s="242"/>
      <c r="E53" s="242"/>
      <c r="F53" s="242"/>
      <c r="G53" s="242"/>
      <c r="H53" s="242"/>
      <c r="I53" s="3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A3" sqref="A3:K21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6" width="9.140625" style="70" customWidth="1"/>
    <col min="7" max="7" width="7.57421875" style="70" customWidth="1"/>
    <col min="8" max="8" width="2.28125" style="70" customWidth="1"/>
    <col min="9" max="9" width="7.140625" style="70" customWidth="1"/>
    <col min="10" max="10" width="12.28125" style="70" customWidth="1"/>
    <col min="11" max="11" width="11.8515625" style="70" customWidth="1"/>
    <col min="12" max="12" width="10.140625" style="70" bestFit="1" customWidth="1"/>
    <col min="13" max="16384" width="9.140625" style="70" customWidth="1"/>
  </cols>
  <sheetData>
    <row r="1" spans="1:12" ht="12.75">
      <c r="A1" s="321" t="s">
        <v>281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69"/>
    </row>
    <row r="2" spans="1:12" ht="15.75">
      <c r="A2" s="40"/>
      <c r="B2" s="68"/>
      <c r="C2" s="306" t="s">
        <v>282</v>
      </c>
      <c r="D2" s="306"/>
      <c r="E2" s="143" t="s">
        <v>340</v>
      </c>
      <c r="F2" s="41" t="s">
        <v>250</v>
      </c>
      <c r="G2" s="307" t="s">
        <v>345</v>
      </c>
      <c r="H2" s="308"/>
      <c r="I2" s="68"/>
      <c r="J2" s="68"/>
      <c r="K2" s="68"/>
      <c r="L2" s="71"/>
    </row>
    <row r="3" spans="1:11" ht="23.25">
      <c r="A3" s="309" t="s">
        <v>59</v>
      </c>
      <c r="B3" s="309"/>
      <c r="C3" s="309"/>
      <c r="D3" s="309"/>
      <c r="E3" s="309"/>
      <c r="F3" s="309"/>
      <c r="G3" s="309"/>
      <c r="H3" s="309"/>
      <c r="I3" s="73" t="s">
        <v>305</v>
      </c>
      <c r="J3" s="74" t="s">
        <v>150</v>
      </c>
      <c r="K3" s="74" t="s">
        <v>151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76">
        <v>2</v>
      </c>
      <c r="J4" s="75" t="s">
        <v>283</v>
      </c>
      <c r="K4" s="75" t="s">
        <v>284</v>
      </c>
    </row>
    <row r="5" spans="1:11" ht="12.75">
      <c r="A5" s="311" t="s">
        <v>285</v>
      </c>
      <c r="B5" s="312"/>
      <c r="C5" s="312"/>
      <c r="D5" s="312"/>
      <c r="E5" s="312"/>
      <c r="F5" s="312"/>
      <c r="G5" s="312"/>
      <c r="H5" s="312"/>
      <c r="I5" s="42">
        <v>1</v>
      </c>
      <c r="J5" s="144">
        <f>Bilanca!J70</f>
        <v>277879530</v>
      </c>
      <c r="K5" s="144">
        <f>Bilanca!K70</f>
        <v>277879530</v>
      </c>
    </row>
    <row r="6" spans="1:11" ht="12.75">
      <c r="A6" s="311" t="s">
        <v>286</v>
      </c>
      <c r="B6" s="312"/>
      <c r="C6" s="312"/>
      <c r="D6" s="312"/>
      <c r="E6" s="312"/>
      <c r="F6" s="312"/>
      <c r="G6" s="312"/>
      <c r="H6" s="312"/>
      <c r="I6" s="42">
        <v>2</v>
      </c>
      <c r="J6" s="145">
        <v>0</v>
      </c>
      <c r="K6" s="145">
        <v>0</v>
      </c>
    </row>
    <row r="7" spans="1:11" ht="12.75">
      <c r="A7" s="311" t="s">
        <v>287</v>
      </c>
      <c r="B7" s="312"/>
      <c r="C7" s="312"/>
      <c r="D7" s="312"/>
      <c r="E7" s="312"/>
      <c r="F7" s="312"/>
      <c r="G7" s="312"/>
      <c r="H7" s="312"/>
      <c r="I7" s="42">
        <v>3</v>
      </c>
      <c r="J7" s="145">
        <f>Bilanca!J72</f>
        <v>93682152</v>
      </c>
      <c r="K7" s="145">
        <f>Bilanca!K72</f>
        <v>102393383</v>
      </c>
    </row>
    <row r="8" spans="1:11" ht="12.75">
      <c r="A8" s="311" t="s">
        <v>288</v>
      </c>
      <c r="B8" s="312"/>
      <c r="C8" s="312"/>
      <c r="D8" s="312"/>
      <c r="E8" s="312"/>
      <c r="F8" s="312"/>
      <c r="G8" s="312"/>
      <c r="H8" s="312"/>
      <c r="I8" s="42">
        <v>4</v>
      </c>
      <c r="J8" s="145">
        <f>Bilanca!J79</f>
        <v>-17735084</v>
      </c>
      <c r="K8" s="145">
        <f>Bilanca!K79</f>
        <v>-19222253</v>
      </c>
    </row>
    <row r="9" spans="1:11" ht="12.75">
      <c r="A9" s="311" t="s">
        <v>289</v>
      </c>
      <c r="B9" s="312"/>
      <c r="C9" s="312"/>
      <c r="D9" s="312"/>
      <c r="E9" s="312"/>
      <c r="F9" s="312"/>
      <c r="G9" s="312"/>
      <c r="H9" s="312"/>
      <c r="I9" s="42">
        <v>5</v>
      </c>
      <c r="J9" s="145">
        <f>Bilanca!J83</f>
        <v>6565630</v>
      </c>
      <c r="K9" s="145">
        <f>Bilanca!K83</f>
        <v>26977256</v>
      </c>
    </row>
    <row r="10" spans="1:11" ht="12.75">
      <c r="A10" s="311" t="s">
        <v>290</v>
      </c>
      <c r="B10" s="312"/>
      <c r="C10" s="312"/>
      <c r="D10" s="312"/>
      <c r="E10" s="312"/>
      <c r="F10" s="312"/>
      <c r="G10" s="312"/>
      <c r="H10" s="312"/>
      <c r="I10" s="42">
        <v>6</v>
      </c>
      <c r="J10" s="145">
        <v>0</v>
      </c>
      <c r="K10" s="145">
        <v>0</v>
      </c>
    </row>
    <row r="11" spans="1:11" ht="12.75">
      <c r="A11" s="311" t="s">
        <v>291</v>
      </c>
      <c r="B11" s="312"/>
      <c r="C11" s="312"/>
      <c r="D11" s="312"/>
      <c r="E11" s="312"/>
      <c r="F11" s="312"/>
      <c r="G11" s="312"/>
      <c r="H11" s="312"/>
      <c r="I11" s="42">
        <v>7</v>
      </c>
      <c r="J11" s="145">
        <v>0</v>
      </c>
      <c r="K11" s="145">
        <v>0</v>
      </c>
    </row>
    <row r="12" spans="1:11" ht="12.75">
      <c r="A12" s="311" t="s">
        <v>292</v>
      </c>
      <c r="B12" s="312"/>
      <c r="C12" s="312"/>
      <c r="D12" s="312"/>
      <c r="E12" s="312"/>
      <c r="F12" s="312"/>
      <c r="G12" s="312"/>
      <c r="H12" s="312"/>
      <c r="I12" s="42">
        <v>8</v>
      </c>
      <c r="J12" s="145">
        <f>Bilanca!J78</f>
        <v>-540252</v>
      </c>
      <c r="K12" s="145">
        <f>Bilanca!K78</f>
        <v>-919512</v>
      </c>
    </row>
    <row r="13" spans="1:11" ht="12.75">
      <c r="A13" s="311" t="s">
        <v>293</v>
      </c>
      <c r="B13" s="312"/>
      <c r="C13" s="312"/>
      <c r="D13" s="312"/>
      <c r="E13" s="312"/>
      <c r="F13" s="312"/>
      <c r="G13" s="312"/>
      <c r="H13" s="312"/>
      <c r="I13" s="42">
        <v>9</v>
      </c>
      <c r="J13" s="145">
        <v>0</v>
      </c>
      <c r="K13" s="145">
        <v>0</v>
      </c>
    </row>
    <row r="14" spans="1:11" ht="12.75">
      <c r="A14" s="313" t="s">
        <v>294</v>
      </c>
      <c r="B14" s="314"/>
      <c r="C14" s="314"/>
      <c r="D14" s="314"/>
      <c r="E14" s="314"/>
      <c r="F14" s="314"/>
      <c r="G14" s="314"/>
      <c r="H14" s="314"/>
      <c r="I14" s="42">
        <v>10</v>
      </c>
      <c r="J14" s="146">
        <f>SUM(J5:J13)</f>
        <v>359851976</v>
      </c>
      <c r="K14" s="146">
        <f>SUM(K5:K13)</f>
        <v>387108404</v>
      </c>
    </row>
    <row r="15" spans="1:11" ht="12.75">
      <c r="A15" s="311" t="s">
        <v>295</v>
      </c>
      <c r="B15" s="312"/>
      <c r="C15" s="312"/>
      <c r="D15" s="312"/>
      <c r="E15" s="312"/>
      <c r="F15" s="312"/>
      <c r="G15" s="312"/>
      <c r="H15" s="312"/>
      <c r="I15" s="42">
        <v>11</v>
      </c>
      <c r="J15" s="145">
        <v>0</v>
      </c>
      <c r="K15" s="145">
        <v>0</v>
      </c>
    </row>
    <row r="16" spans="1:11" ht="12.75">
      <c r="A16" s="311" t="s">
        <v>296</v>
      </c>
      <c r="B16" s="312"/>
      <c r="C16" s="312"/>
      <c r="D16" s="312"/>
      <c r="E16" s="312"/>
      <c r="F16" s="312"/>
      <c r="G16" s="312"/>
      <c r="H16" s="312"/>
      <c r="I16" s="42">
        <v>12</v>
      </c>
      <c r="J16" s="145">
        <v>0</v>
      </c>
      <c r="K16" s="145">
        <v>0</v>
      </c>
    </row>
    <row r="17" spans="1:11" ht="12.75">
      <c r="A17" s="311" t="s">
        <v>297</v>
      </c>
      <c r="B17" s="312"/>
      <c r="C17" s="312"/>
      <c r="D17" s="312"/>
      <c r="E17" s="312"/>
      <c r="F17" s="312"/>
      <c r="G17" s="312"/>
      <c r="H17" s="312"/>
      <c r="I17" s="42">
        <v>13</v>
      </c>
      <c r="J17" s="145">
        <f>RDG!J61</f>
        <v>217231</v>
      </c>
      <c r="K17" s="145">
        <f>RDG!L61</f>
        <v>668738</v>
      </c>
    </row>
    <row r="18" spans="1:11" ht="12.75">
      <c r="A18" s="311" t="s">
        <v>298</v>
      </c>
      <c r="B18" s="312"/>
      <c r="C18" s="312"/>
      <c r="D18" s="312"/>
      <c r="E18" s="312"/>
      <c r="F18" s="312"/>
      <c r="G18" s="312"/>
      <c r="H18" s="312"/>
      <c r="I18" s="42">
        <v>14</v>
      </c>
      <c r="J18" s="145">
        <v>0</v>
      </c>
      <c r="K18" s="145">
        <v>0</v>
      </c>
    </row>
    <row r="19" spans="1:11" ht="12.75">
      <c r="A19" s="311" t="s">
        <v>299</v>
      </c>
      <c r="B19" s="312"/>
      <c r="C19" s="312"/>
      <c r="D19" s="312"/>
      <c r="E19" s="312"/>
      <c r="F19" s="312"/>
      <c r="G19" s="312"/>
      <c r="H19" s="312"/>
      <c r="I19" s="42">
        <v>15</v>
      </c>
      <c r="J19" s="145">
        <v>0</v>
      </c>
      <c r="K19" s="145">
        <v>0</v>
      </c>
    </row>
    <row r="20" spans="1:12" ht="12.75">
      <c r="A20" s="311" t="s">
        <v>300</v>
      </c>
      <c r="B20" s="312"/>
      <c r="C20" s="312"/>
      <c r="D20" s="312"/>
      <c r="E20" s="312"/>
      <c r="F20" s="312"/>
      <c r="G20" s="312"/>
      <c r="H20" s="312"/>
      <c r="I20" s="42">
        <v>16</v>
      </c>
      <c r="J20" s="145">
        <f>J14-352897287-J17</f>
        <v>6737458</v>
      </c>
      <c r="K20" s="145">
        <f>K14-J14-K17</f>
        <v>26587690</v>
      </c>
      <c r="L20" s="157"/>
    </row>
    <row r="21" spans="1:11" ht="12.75">
      <c r="A21" s="323" t="s">
        <v>301</v>
      </c>
      <c r="B21" s="324"/>
      <c r="C21" s="324"/>
      <c r="D21" s="324"/>
      <c r="E21" s="324"/>
      <c r="F21" s="324"/>
      <c r="G21" s="324"/>
      <c r="H21" s="324"/>
      <c r="I21" s="44">
        <v>17</v>
      </c>
      <c r="J21" s="147">
        <f>SUM(J15:J20)</f>
        <v>6954689</v>
      </c>
      <c r="K21" s="147">
        <f>SUM(K15:K20)</f>
        <v>27256428</v>
      </c>
    </row>
    <row r="22" spans="1:11" ht="12.75">
      <c r="A22" s="325"/>
      <c r="B22" s="326"/>
      <c r="C22" s="326"/>
      <c r="D22" s="326"/>
      <c r="E22" s="326"/>
      <c r="F22" s="326"/>
      <c r="G22" s="326"/>
      <c r="H22" s="326"/>
      <c r="I22" s="327"/>
      <c r="J22" s="327"/>
      <c r="K22" s="328"/>
    </row>
    <row r="23" spans="1:11" ht="12.75">
      <c r="A23" s="315" t="s">
        <v>302</v>
      </c>
      <c r="B23" s="316"/>
      <c r="C23" s="316"/>
      <c r="D23" s="316"/>
      <c r="E23" s="316"/>
      <c r="F23" s="316"/>
      <c r="G23" s="316"/>
      <c r="H23" s="316"/>
      <c r="I23" s="43">
        <v>18</v>
      </c>
      <c r="J23" s="145"/>
      <c r="K23" s="145"/>
    </row>
    <row r="24" spans="1:11" ht="17.25" customHeight="1">
      <c r="A24" s="317" t="s">
        <v>303</v>
      </c>
      <c r="B24" s="318"/>
      <c r="C24" s="318"/>
      <c r="D24" s="318"/>
      <c r="E24" s="318"/>
      <c r="F24" s="318"/>
      <c r="G24" s="318"/>
      <c r="H24" s="318"/>
      <c r="I24" s="44">
        <v>19</v>
      </c>
      <c r="J24" s="72"/>
      <c r="K24" s="72"/>
    </row>
    <row r="25" spans="1:11" ht="30" customHeight="1">
      <c r="A25" s="319" t="s">
        <v>304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29" t="s">
        <v>280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30" t="s">
        <v>316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2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2.7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2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2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2.7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2.7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12.75">
      <c r="A11" s="331"/>
      <c r="B11" s="331"/>
      <c r="C11" s="331"/>
      <c r="D11" s="331"/>
      <c r="E11" s="331"/>
      <c r="F11" s="331"/>
      <c r="G11" s="331"/>
      <c r="H11" s="331"/>
      <c r="I11" s="331"/>
      <c r="J11" s="331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2018-02-28T14:09:42Z</cp:lastPrinted>
  <dcterms:created xsi:type="dcterms:W3CDTF">2008-10-17T11:51:54Z</dcterms:created>
  <dcterms:modified xsi:type="dcterms:W3CDTF">2018-02-28T14:55:45Z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