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<sst xmlns="http://schemas.openxmlformats.org/spreadsheetml/2006/main" count="397" uniqueCount="343">
  <si>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</si>
  <si>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</si>
  <si>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</si>
  <si>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</si>
  <si>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</si>
  <si>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</si>
  <si>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</si>
  <si>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</si>
  <si>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</si>
  <si>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</si>
  <si>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</si>
  <si>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</si>
  <si>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</si>
  <si>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</si>
  <si>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</si>
  <si>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</si>
  <si>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</si>
  <si>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</si>
  <si>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</si>
  <si>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</si>
  <si>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</si>
  <si>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</si>
  <si>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</si>
  <si>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</si>
  <si>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</si>
  <si>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</si>
  <si>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</si>
  <si>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</si>
  <si>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</si>
  <si>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</si>
  <si>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</si>
  <si>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</si>
  <si>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</si>
  <si>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</si>
  <si>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</si>
  <si>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</si>
  <si>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</si>
  <si>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</si>
  <si>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</si>
  <si>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</si>
  <si>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</si>
  <si>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</si>
  <si>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</si>
  <si>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</si>
  <si>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</si>
  <si>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</si>
  <si>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</si>
  <si>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</si>
  <si>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</si>
  <si>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</si>
  <si>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</si>
  <si>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</si>
  <si>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</si>
  <si>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</si>
  <si>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</si>
  <si>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</si>
  <si>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</si>
  <si>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</si>
  <si>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</si>
  <si>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</si>
  <si>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</si>
  <si>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</si>
  <si>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</si>
  <si>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</si>
  <si>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</si>
  <si>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</si>
  <si>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</si>
  <si>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</si>
  <si>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</si>
  <si>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</si>
  <si>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</si>
  <si>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</si>
  <si>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</si>
  <si>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</si>
  <si>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</si>
  <si>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</si>
  <si>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</si>
  <si>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</si>
  <si>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</si>
  <si>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</si>
  <si>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</si>
  <si>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</si>
  <si>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</si>
  <si>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</si>
  <si>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</si>
  <si>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</si>
  <si>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</si>
  <si>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</si>
  <si>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</si>
  <si>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</si>
  <si>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</si>
  <si>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</si>
  <si>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</si>
  <si>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</si>
  <si>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</si>
  <si>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</si>
  <si>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</si>
  <si>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</si>
  <si>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</si>
  <si>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</si>
  <si>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</si>
  <si>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</si>
  <si>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</si>
  <si>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</si>
  <si>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</si>
  <si>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</si>
  <si>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</si>
  <si>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</si>
  <si>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</si>
  <si>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</si>
  <si>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</si>
  <si>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</si>
  <si>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</si>
  <si>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</si>
  <si>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</si>
  <si>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</si>
  <si>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</si>
  <si>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</si>
  <si>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</si>
  <si>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</si>
  <si>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</si>
  <si>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</si>
  <si>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</si>
  <si>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</si>
  <si>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</si>
  <si>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</si>
  <si>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</si>
  <si>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</si>
  <si>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</si>
  <si>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</si>
  <si>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</si>
  <si>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</si>
  <si>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</si>
  <si>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</si>
  <si>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</si>
  <si>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</si>
  <si>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</si>
  <si>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</si>
  <si>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</si>
  <si>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</si>
  <si>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</si>
  <si>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</si>
  <si>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</si>
  <si>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</si>
  <si>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</si>
  <si>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</si>
  <si>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</si>
  <si>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</si>
  <si>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</si>
  <si>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</si>
  <si>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</si>
  <si>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</si>
  <si>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</si>
  <si>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</si>
  <si>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</si>
  <si>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</si>
  <si>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</si>
  <si>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</si>
  <si>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</si>
  <si>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</si>
  <si>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</si>
  <si>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</si>
  <si>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</si>
  <si>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</si>
  <si>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</si>
  <si>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</si>
  <si>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</si>
  <si>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</si>
  <si>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</si>
  <si>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</si>
  <si>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</si>
  <si>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</si>
  <si>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</si>
  <si>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</si>
  <si>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</si>
  <si>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</si>
  <si>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</si>
  <si>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</si>
  <si>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</si>
  <si>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</si>
  <si>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</si>
  <si>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</si>
  <si>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</si>
  <si>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</si>
  <si>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</si>
  <si>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</si>
  <si>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</si>
  <si>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</si>
  <si>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</si>
  <si>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</si>
  <si>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</si>
  <si>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</si>
  <si>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</si>
  <si>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</si>
  <si>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</si>
  <si>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</si>
  <si>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</si>
  <si>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</si>
  <si>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</si>
  <si>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</si>
  <si>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</si>
  <si>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</si>
  <si>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</si>
  <si>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</si>
  <si>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</si>
  <si>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</si>
  <si>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</si>
  <si>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</si>
  <si>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</si>
  <si>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</si>
  <si>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</si>
  <si>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</si>
  <si>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</si>
  <si>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</si>
  <si>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</si>
  <si>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</si>
  <si>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</si>
  <si>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</si>
  <si>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</si>
  <si>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</si>
  <si>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</si>
  <si>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</si>
  <si>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</si>
  <si>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</si>
  <si>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</si>
  <si>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</si>
  <si>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</si>
  <si>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</si>
  <si>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</si>
  <si>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</si>
  <si>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</si>
  <si>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</si>
  <si>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</si>
  <si>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</si>
  <si>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</si>
  <si>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</si>
  <si>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</si>
  <si>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</si>
  <si>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</si>
  <si>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</si>
  <si>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</si>
  <si>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</si>
  <si>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</si>
  <si>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</si>
  <si>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</si>
  <si>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</si>
  <si>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</si>
  <si>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</si>
  <si>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</si>
  <si>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</si>
  <si>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</si>
  <si>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</si>
  <si>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</si>
  <si>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</si>
  <si>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</si>
  <si>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</si>
  <si>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</si>
  <si>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</si>
  <si>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</si>
  <si>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</si>
  <si>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</si>
  <si>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</si>
  <si>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</si>
  <si>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</si>
  <si>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</si>
  <si>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</si>
  <si>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</si>
  <si>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</si>
  <si>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</si>
  <si>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</si>
  <si>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</si>
  <si>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</si>
  <si>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</si>
  <si>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</si>
  <si>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</si>
  <si>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</si>
  <si>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</si>
  <si>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</si>
  <si>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</si>
  <si>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</si>
  <si>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</si>
  <si>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</si>
  <si>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</si>
  <si>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</si>
  <si>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</si>
  <si>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</si>
  <si>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</si>
  <si>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</si>
  <si>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</si>
  <si>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</si>
  <si>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</si>
  <si>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</si>
  <si>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</si>
  <si>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</si>
  <si>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</si>
  <si>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</si>
  <si>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</si>
  <si>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</si>
  <si>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</si>
  <si>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</si>
  <si>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</si>
  <si>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</si>
  <si>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</si>
  <si>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</si>
  <si>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</si>
  <si>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</si>
  <si>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</si>
  <si>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</si>
  <si>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</si>
  <si>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</si>
  <si>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</si>
  <si>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</si>
  <si>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</si>
  <si>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</si>
  <si>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</si>
  <si>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</si>
  <si>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</si>
  <si>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</si>
  <si>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</si>
  <si>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</si>
  <si>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</si>
  <si>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</si>
  <si>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</si>
  <si>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24640993045</t>
  </si>
  <si>
    <t>03298744</t>
  </si>
  <si>
    <t>080037012</t>
  </si>
  <si>
    <t>CROATIA AIRLINES d.d.</t>
  </si>
  <si>
    <t>ZAGREB</t>
  </si>
  <si>
    <t>BANI 75 B</t>
  </si>
  <si>
    <t>GRAD ZAGREB</t>
  </si>
  <si>
    <t>5110</t>
  </si>
  <si>
    <t>VESNA MIKULEC</t>
  </si>
  <si>
    <t>01 616 00 49</t>
  </si>
  <si>
    <t>01 617 66 90</t>
  </si>
  <si>
    <t>bu-ha@croatiaairlines.hr</t>
  </si>
  <si>
    <t>www.croatiaairlines.hr</t>
  </si>
  <si>
    <t>vesna.mikulec@croatiaairlines.hr</t>
  </si>
  <si>
    <t>NE</t>
  </si>
  <si>
    <t>Obveznik:  CROATIA AIRLINES d.d.</t>
  </si>
  <si>
    <t>30.6.2013.</t>
  </si>
  <si>
    <t>stanje na dan 30.6.2013.</t>
  </si>
  <si>
    <t>u razdoblju 01.01.2013. do 30.6.2013.</t>
  </si>
  <si>
    <t>ŠIRAC ZLATKO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</si>
</sst>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51" sqref="F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8">
        <v>41275</v>
      </c>
      <c r="F2" s="12"/>
      <c r="G2" s="13" t="s">
        <v>250</v>
      </c>
      <c r="H2" s="118" t="s">
        <v>339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3" t="s">
        <v>251</v>
      </c>
      <c r="B6" s="144"/>
      <c r="C6" s="135" t="s">
        <v>324</v>
      </c>
      <c r="D6" s="13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5" t="s">
        <v>252</v>
      </c>
      <c r="B8" s="146"/>
      <c r="C8" s="135" t="s">
        <v>325</v>
      </c>
      <c r="D8" s="13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2" t="s">
        <v>253</v>
      </c>
      <c r="B10" s="133"/>
      <c r="C10" s="135" t="s">
        <v>323</v>
      </c>
      <c r="D10" s="13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3" t="s">
        <v>254</v>
      </c>
      <c r="B12" s="144"/>
      <c r="C12" s="147" t="s">
        <v>326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3" t="s">
        <v>255</v>
      </c>
      <c r="B14" s="144"/>
      <c r="C14" s="150">
        <v>10010</v>
      </c>
      <c r="D14" s="151"/>
      <c r="E14" s="16"/>
      <c r="F14" s="147" t="s">
        <v>327</v>
      </c>
      <c r="G14" s="148"/>
      <c r="H14" s="148"/>
      <c r="I14" s="14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3" t="s">
        <v>256</v>
      </c>
      <c r="B16" s="144"/>
      <c r="C16" s="147" t="s">
        <v>328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3" t="s">
        <v>257</v>
      </c>
      <c r="B18" s="144"/>
      <c r="C18" s="152" t="s">
        <v>334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3" t="s">
        <v>258</v>
      </c>
      <c r="B20" s="144"/>
      <c r="C20" s="152" t="s">
        <v>335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3" t="s">
        <v>259</v>
      </c>
      <c r="B22" s="144"/>
      <c r="C22" s="119">
        <v>133</v>
      </c>
      <c r="D22" s="147" t="s">
        <v>327</v>
      </c>
      <c r="E22" s="155"/>
      <c r="F22" s="156"/>
      <c r="G22" s="143"/>
      <c r="H22" s="15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3" t="s">
        <v>260</v>
      </c>
      <c r="B24" s="144"/>
      <c r="C24" s="119">
        <v>21</v>
      </c>
      <c r="D24" s="147" t="s">
        <v>329</v>
      </c>
      <c r="E24" s="155"/>
      <c r="F24" s="155"/>
      <c r="G24" s="156"/>
      <c r="H24" s="51" t="s">
        <v>261</v>
      </c>
      <c r="I24" s="131">
        <v>1096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3" t="s">
        <v>262</v>
      </c>
      <c r="B26" s="144"/>
      <c r="C26" s="120" t="s">
        <v>337</v>
      </c>
      <c r="D26" s="25"/>
      <c r="E26" s="33"/>
      <c r="F26" s="24"/>
      <c r="G26" s="158" t="s">
        <v>263</v>
      </c>
      <c r="H26" s="144"/>
      <c r="I26" s="121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2"/>
      <c r="B31" s="22"/>
      <c r="C31" s="21"/>
      <c r="D31" s="169"/>
      <c r="E31" s="169"/>
      <c r="F31" s="169"/>
      <c r="G31" s="170"/>
      <c r="H31" s="16"/>
      <c r="I31" s="99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10"/>
      <c r="K36" s="10"/>
      <c r="L36" s="10"/>
    </row>
    <row r="37" spans="1:12" ht="12.75">
      <c r="A37" s="101"/>
      <c r="B37" s="30"/>
      <c r="C37" s="171"/>
      <c r="D37" s="172"/>
      <c r="E37" s="16"/>
      <c r="F37" s="171"/>
      <c r="G37" s="172"/>
      <c r="H37" s="16"/>
      <c r="I37" s="93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2" t="s">
        <v>267</v>
      </c>
      <c r="B44" s="176"/>
      <c r="C44" s="135"/>
      <c r="D44" s="136"/>
      <c r="E44" s="26"/>
      <c r="F44" s="147"/>
      <c r="G44" s="167"/>
      <c r="H44" s="167"/>
      <c r="I44" s="168"/>
      <c r="J44" s="10"/>
      <c r="K44" s="10"/>
      <c r="L44" s="10"/>
    </row>
    <row r="45" spans="1:12" ht="12.75">
      <c r="A45" s="101"/>
      <c r="B45" s="30"/>
      <c r="C45" s="171"/>
      <c r="D45" s="172"/>
      <c r="E45" s="16"/>
      <c r="F45" s="171"/>
      <c r="G45" s="173"/>
      <c r="H45" s="35"/>
      <c r="I45" s="105"/>
      <c r="J45" s="10"/>
      <c r="K45" s="10"/>
      <c r="L45" s="10"/>
    </row>
    <row r="46" spans="1:12" ht="12.75">
      <c r="A46" s="132" t="s">
        <v>268</v>
      </c>
      <c r="B46" s="176"/>
      <c r="C46" s="147" t="s">
        <v>331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2" t="s">
        <v>270</v>
      </c>
      <c r="B48" s="176"/>
      <c r="C48" s="177" t="s">
        <v>332</v>
      </c>
      <c r="D48" s="178"/>
      <c r="E48" s="179"/>
      <c r="F48" s="16"/>
      <c r="G48" s="51" t="s">
        <v>271</v>
      </c>
      <c r="H48" s="177" t="s">
        <v>333</v>
      </c>
      <c r="I48" s="17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2" t="s">
        <v>257</v>
      </c>
      <c r="B50" s="176"/>
      <c r="C50" s="188" t="s">
        <v>336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3" t="s">
        <v>272</v>
      </c>
      <c r="B52" s="144"/>
      <c r="C52" s="177" t="s">
        <v>342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6"/>
      <c r="B53" s="20"/>
      <c r="C53" s="182" t="s">
        <v>273</v>
      </c>
      <c r="D53" s="182"/>
      <c r="E53" s="182"/>
      <c r="F53" s="182"/>
      <c r="G53" s="182"/>
      <c r="H53" s="182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9" t="s">
        <v>274</v>
      </c>
      <c r="C55" s="190"/>
      <c r="D55" s="190"/>
      <c r="E55" s="190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6"/>
      <c r="B57" s="191" t="s">
        <v>307</v>
      </c>
      <c r="C57" s="192"/>
      <c r="D57" s="192"/>
      <c r="E57" s="192"/>
      <c r="F57" s="192"/>
      <c r="G57" s="192"/>
      <c r="H57" s="192"/>
      <c r="I57" s="108"/>
      <c r="J57" s="10"/>
      <c r="K57" s="10"/>
      <c r="L57" s="10"/>
    </row>
    <row r="58" spans="1:12" ht="12.75">
      <c r="A58" s="106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6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6"/>
      <c r="H63" s="18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8">
      <selection activeCell="J69" sqref="J69"/>
    </sheetView>
  </sheetViews>
  <sheetFormatPr defaultColWidth="9.140625" defaultRowHeight="12.75"/>
  <cols>
    <col min="1" max="9" width="9.140625" style="52" customWidth="1"/>
    <col min="10" max="10" width="13.57421875" style="52" customWidth="1"/>
    <col min="11" max="11" width="14.8515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319</v>
      </c>
      <c r="K4" s="59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6">
        <v>2</v>
      </c>
      <c r="J5" s="55">
        <v>3</v>
      </c>
      <c r="K5" s="55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125">
        <f>J9+J16+J26+J35+J39</f>
        <v>787158744</v>
      </c>
      <c r="K8" s="125">
        <f>K9+K16+K26+K35+K39</f>
        <v>770810208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125">
        <f>SUM(J10:J15)</f>
        <v>15770216</v>
      </c>
      <c r="K9" s="125">
        <f>SUM(K10:K15)</f>
        <v>12323265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0</v>
      </c>
      <c r="K10" s="7">
        <v>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15339453</v>
      </c>
      <c r="K11" s="7">
        <v>11873876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0</v>
      </c>
      <c r="K12" s="7">
        <v>0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0</v>
      </c>
      <c r="K13" s="7">
        <v>0</v>
      </c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430763</v>
      </c>
      <c r="K14" s="7">
        <v>449389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0</v>
      </c>
      <c r="K15" s="7">
        <v>0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5">
        <f>SUM(J17:J25)</f>
        <v>730167010</v>
      </c>
      <c r="K16" s="125">
        <f>SUM(K17:K25)</f>
        <v>716103560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24528160</v>
      </c>
      <c r="K17" s="7">
        <v>24528160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28684659</v>
      </c>
      <c r="K18" s="7">
        <v>27167489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100376012</v>
      </c>
      <c r="K19" s="7">
        <v>99532735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511586024</v>
      </c>
      <c r="K20" s="7">
        <v>489016668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0</v>
      </c>
      <c r="K21" s="7">
        <v>0</v>
      </c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43315186</v>
      </c>
      <c r="K22" s="7">
        <v>43160510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20335693</v>
      </c>
      <c r="K23" s="7">
        <v>31512069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1341276</v>
      </c>
      <c r="K24" s="7">
        <v>1185929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0</v>
      </c>
      <c r="K25" s="7">
        <v>0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5">
        <f>SUM(J27:J34)</f>
        <v>40721151</v>
      </c>
      <c r="K26" s="125">
        <f>SUM(K27:K34)</f>
        <v>41883016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5110400</v>
      </c>
      <c r="K27" s="7">
        <v>5110400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0</v>
      </c>
      <c r="K28" s="7">
        <v>0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0</v>
      </c>
      <c r="K29" s="7">
        <v>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1702800</v>
      </c>
      <c r="K31" s="7">
        <v>1702800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33907951</v>
      </c>
      <c r="K32" s="7">
        <v>35069816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0</v>
      </c>
      <c r="K33" s="7">
        <v>0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0</v>
      </c>
      <c r="K34" s="7">
        <v>0</v>
      </c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5">
        <f>SUM(J36:J38)</f>
        <v>500367</v>
      </c>
      <c r="K35" s="125">
        <f>SUM(K36:K38)</f>
        <v>500367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0</v>
      </c>
      <c r="K37" s="7">
        <v>0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500367</v>
      </c>
      <c r="K38" s="7">
        <v>500367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0</v>
      </c>
      <c r="K39" s="7">
        <v>0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5">
        <f>J41+J49+J56+J64</f>
        <v>291870061</v>
      </c>
      <c r="K40" s="125">
        <f>K41+K49+K56+K64</f>
        <v>384645428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125">
        <f>SUM(J42:J48)</f>
        <v>49071003</v>
      </c>
      <c r="K41" s="125">
        <f>SUM(K42:K48)</f>
        <v>52116171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49071003</v>
      </c>
      <c r="K42" s="7">
        <v>52116171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0</v>
      </c>
      <c r="K43" s="7">
        <v>0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0</v>
      </c>
      <c r="K44" s="7">
        <v>0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0</v>
      </c>
      <c r="K45" s="7">
        <v>0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0</v>
      </c>
      <c r="K46" s="7">
        <v>0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0</v>
      </c>
      <c r="K47" s="7">
        <v>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125">
        <f>SUM(J50:J55)</f>
        <v>205329288</v>
      </c>
      <c r="K49" s="125">
        <f>SUM(K50:K55)</f>
        <v>195834238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633979</v>
      </c>
      <c r="K50" s="7">
        <v>437658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87840547</v>
      </c>
      <c r="K51" s="7">
        <v>128521672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0</v>
      </c>
      <c r="K52" s="7">
        <v>0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353734</v>
      </c>
      <c r="K53" s="7">
        <v>496399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105920779</v>
      </c>
      <c r="K54" s="7">
        <v>47656698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10580249</v>
      </c>
      <c r="K55" s="7">
        <v>18721811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125">
        <f>SUM(J57:J63)</f>
        <v>3374214</v>
      </c>
      <c r="K56" s="125">
        <f>SUM(K57:K63)</f>
        <v>39144732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0</v>
      </c>
      <c r="K58" s="7">
        <v>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0</v>
      </c>
      <c r="K60" s="7">
        <v>0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189</v>
      </c>
      <c r="K61" s="7">
        <v>186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3370455</v>
      </c>
      <c r="K62" s="7">
        <v>38868804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3570</v>
      </c>
      <c r="K63" s="7">
        <v>275742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34095556</v>
      </c>
      <c r="K64" s="7">
        <v>97550287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126">
        <v>47167169</v>
      </c>
      <c r="K65" s="126">
        <v>49258461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5">
        <f>J7+J8+J40+J65</f>
        <v>1126195974</v>
      </c>
      <c r="K66" s="125">
        <f>K7+K8+K40+K65</f>
        <v>1204714097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127">
        <f>J70+J71+J72+J78+J79+J82+J85</f>
        <v>143404589</v>
      </c>
      <c r="K69" s="127">
        <f>K70+K71+K72+K78+K79+K82+K85</f>
        <v>68524947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126">
        <v>1852202900</v>
      </c>
      <c r="K70" s="126">
        <v>1852202900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126">
        <v>0</v>
      </c>
      <c r="K71" s="126">
        <v>0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5">
        <f>J73+J74-J75+J76+J77</f>
        <v>-8519749</v>
      </c>
      <c r="K72" s="125">
        <f>K73+K74-K75+K76+K77</f>
        <v>-5306638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931483</v>
      </c>
      <c r="K73" s="7">
        <v>931483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0</v>
      </c>
      <c r="K74" s="7">
        <v>0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32600</v>
      </c>
      <c r="K75" s="7">
        <v>29400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0</v>
      </c>
      <c r="K76" s="7">
        <v>0</v>
      </c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-9418632</v>
      </c>
      <c r="K77" s="7">
        <v>-6208721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6">
        <v>0</v>
      </c>
      <c r="K78" s="126">
        <v>0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125">
        <f>J80-J81</f>
        <v>-1212111215</v>
      </c>
      <c r="K79" s="125">
        <f>K80-K81</f>
        <v>-1700278562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0</v>
      </c>
      <c r="K80" s="7">
        <v>0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1212111215</v>
      </c>
      <c r="K81" s="7">
        <v>1700278562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125">
        <f>J83-J84</f>
        <v>-488167347</v>
      </c>
      <c r="K82" s="125">
        <f>K83-K84</f>
        <v>-78092753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0</v>
      </c>
      <c r="K83" s="7">
        <v>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488167347</v>
      </c>
      <c r="K84" s="7">
        <v>78092753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126">
        <v>0</v>
      </c>
      <c r="K85" s="126">
        <v>0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5">
        <f>SUM(J87:J89)</f>
        <v>54847343</v>
      </c>
      <c r="K86" s="125">
        <f>SUM(K87:K89)</f>
        <v>45773509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37227972</v>
      </c>
      <c r="K87" s="7">
        <v>39060001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17619371</v>
      </c>
      <c r="K89" s="7">
        <v>6713508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5">
        <f>SUM(J91:J99)</f>
        <v>238345219</v>
      </c>
      <c r="K90" s="125">
        <f>SUM(K91:K99)</f>
        <v>228474125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83148</v>
      </c>
      <c r="K92" s="7">
        <v>73135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238262071</v>
      </c>
      <c r="K93" s="7">
        <v>149699684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0</v>
      </c>
      <c r="K98" s="7">
        <v>78701306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0</v>
      </c>
      <c r="K99" s="7">
        <v>0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5">
        <f>SUM(J101:J112)</f>
        <v>667115087</v>
      </c>
      <c r="K100" s="125">
        <f>SUM(K101:K112)</f>
        <v>828694696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2126475</v>
      </c>
      <c r="K101" s="7">
        <v>2142220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7096315</v>
      </c>
      <c r="K102" s="7">
        <v>10088287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219172487</v>
      </c>
      <c r="K103" s="7">
        <v>215627821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1851658</v>
      </c>
      <c r="K104" s="7">
        <v>5813983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281194895</v>
      </c>
      <c r="K105" s="7">
        <v>196013309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0</v>
      </c>
      <c r="K106" s="7">
        <v>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0</v>
      </c>
      <c r="K107" s="7">
        <v>0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10276223</v>
      </c>
      <c r="K108" s="7">
        <v>10596575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9861467</v>
      </c>
      <c r="K109" s="7">
        <v>10389355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227109</v>
      </c>
      <c r="K110" s="7">
        <v>227109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>
        <v>0</v>
      </c>
      <c r="K111" s="7">
        <v>0</v>
      </c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135308458</v>
      </c>
      <c r="K112" s="7">
        <v>377796037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126">
        <v>22483736</v>
      </c>
      <c r="K113" s="126">
        <v>33246820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5">
        <f>J69+J86+J90+J100+J113</f>
        <v>1126195974</v>
      </c>
      <c r="K114" s="125">
        <f>K69+K86+K90+K100+K113</f>
        <v>1204714097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128"/>
      <c r="K115" s="12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0</v>
      </c>
      <c r="K118" s="7">
        <v>0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0</v>
      </c>
      <c r="K119" s="8">
        <v>0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61" sqref="M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7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 customHeight="1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127">
        <f>SUM(J8:J9)</f>
        <v>739247202</v>
      </c>
      <c r="K7" s="127">
        <f>SUM(K8:K9)</f>
        <v>475084049</v>
      </c>
      <c r="L7" s="127">
        <f>SUM(L8:L9)</f>
        <v>667701570</v>
      </c>
      <c r="M7" s="127">
        <f>SUM(M8:M9)</f>
        <v>419086119</v>
      </c>
    </row>
    <row r="8" spans="1:13" ht="22.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654029725</v>
      </c>
      <c r="K8" s="7">
        <v>433962938</v>
      </c>
      <c r="L8" s="7">
        <v>590876144</v>
      </c>
      <c r="M8" s="7">
        <f>L8-213806579</f>
        <v>377069565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85217477</v>
      </c>
      <c r="K9" s="7">
        <v>41121111</v>
      </c>
      <c r="L9" s="7">
        <v>76825426</v>
      </c>
      <c r="M9" s="7">
        <f>L9-34808872</f>
        <v>42016554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5">
        <f>J11+J12+J16+J20+J21+J22+J25+J26</f>
        <v>815361455</v>
      </c>
      <c r="K10" s="125">
        <f>K11+K12+K16+K20+K21+K22+K25+K26</f>
        <v>461342454</v>
      </c>
      <c r="L10" s="125">
        <f>L11+L12+L16+L20+L21+L22+L25+L26</f>
        <v>745436680</v>
      </c>
      <c r="M10" s="125">
        <f>M11+M12+M16+M20+M21+M22+M25+M26</f>
        <v>409515654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5">
        <f>SUM(J13:J15)</f>
        <v>588377051</v>
      </c>
      <c r="K12" s="125">
        <f>SUM(K13:K15)</f>
        <v>345903728</v>
      </c>
      <c r="L12" s="125">
        <f>SUM(L13:L15)</f>
        <v>549265541</v>
      </c>
      <c r="M12" s="125">
        <f>SUM(M13:M15)</f>
        <v>309733549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203941180</v>
      </c>
      <c r="K13" s="7">
        <v>126042426</v>
      </c>
      <c r="L13" s="7">
        <v>174505320</v>
      </c>
      <c r="M13" s="7">
        <f>L13-76247820</f>
        <v>98257500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3608357</v>
      </c>
      <c r="K14" s="7">
        <v>1942426</v>
      </c>
      <c r="L14" s="7">
        <v>2496451</v>
      </c>
      <c r="M14" s="7">
        <f>L14-1304459</f>
        <v>1191992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380827514</v>
      </c>
      <c r="K15" s="7">
        <v>217918876</v>
      </c>
      <c r="L15" s="7">
        <v>372263770</v>
      </c>
      <c r="M15" s="7">
        <f>L15-161979713</f>
        <v>210284057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5">
        <f>SUM(J17:J19)</f>
        <v>120060286</v>
      </c>
      <c r="K16" s="125">
        <f>SUM(K17:K19)</f>
        <v>61711765</v>
      </c>
      <c r="L16" s="125">
        <f>SUM(L17:L19)</f>
        <v>117078541</v>
      </c>
      <c r="M16" s="125">
        <f>SUM(M17:M19)</f>
        <v>58636200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61477361</v>
      </c>
      <c r="K17" s="7">
        <v>31560201</v>
      </c>
      <c r="L17" s="7">
        <v>60182360</v>
      </c>
      <c r="M17" s="7">
        <f>L17-29923206</f>
        <v>30259154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36656719</v>
      </c>
      <c r="K18" s="7">
        <v>19188432</v>
      </c>
      <c r="L18" s="7">
        <v>36705142</v>
      </c>
      <c r="M18" s="7">
        <f>L18-18340911</f>
        <v>18364231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21926206</v>
      </c>
      <c r="K19" s="7">
        <v>10963132</v>
      </c>
      <c r="L19" s="7">
        <v>20191039</v>
      </c>
      <c r="M19" s="7">
        <f>L19-10178224</f>
        <v>10012815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26">
        <v>67326529</v>
      </c>
      <c r="K20" s="126">
        <v>33389702</v>
      </c>
      <c r="L20" s="126">
        <v>40238722</v>
      </c>
      <c r="M20" s="126">
        <f>L20-19738132</f>
        <v>20500590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26">
        <v>36612847</v>
      </c>
      <c r="K21" s="126">
        <v>18925676</v>
      </c>
      <c r="L21" s="126">
        <v>35351344</v>
      </c>
      <c r="M21" s="126">
        <f>L21-16841397</f>
        <v>18509947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5">
        <f>SUM(J23:J24)</f>
        <v>364833</v>
      </c>
      <c r="K22" s="125">
        <f>SUM(K23:K24)</f>
        <v>104741</v>
      </c>
      <c r="L22" s="125">
        <f>SUM(L23:L24)</f>
        <v>83068</v>
      </c>
      <c r="M22" s="125">
        <f>SUM(M23:M24)</f>
        <v>50605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364833</v>
      </c>
      <c r="K24" s="7">
        <v>104741</v>
      </c>
      <c r="L24" s="7">
        <v>83068</v>
      </c>
      <c r="M24" s="7">
        <f>L24-32463</f>
        <v>50605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126">
        <v>2619909</v>
      </c>
      <c r="K26" s="126">
        <v>1306842</v>
      </c>
      <c r="L26" s="126">
        <v>3419464</v>
      </c>
      <c r="M26" s="126">
        <f>L26-1334701</f>
        <v>2084763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5">
        <f>SUM(J28:J32)</f>
        <v>29540138</v>
      </c>
      <c r="K27" s="125">
        <f>SUM(K28:K32)</f>
        <v>17079451</v>
      </c>
      <c r="L27" s="125">
        <f>SUM(L28:L32)</f>
        <v>38019899</v>
      </c>
      <c r="M27" s="125">
        <f>SUM(M28:M32)</f>
        <v>26167796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563966</v>
      </c>
      <c r="K28" s="7">
        <v>563966</v>
      </c>
      <c r="L28" s="7">
        <v>272254</v>
      </c>
      <c r="M28" s="7">
        <f>L28-0</f>
        <v>272254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28976172</v>
      </c>
      <c r="K29" s="7">
        <v>16515485</v>
      </c>
      <c r="L29" s="7">
        <v>37747645</v>
      </c>
      <c r="M29" s="7">
        <f>L29-11852103</f>
        <v>25895542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5">
        <f>SUM(J34:J37)</f>
        <v>37317149</v>
      </c>
      <c r="K33" s="125">
        <f>SUM(K34:K37)</f>
        <v>21611141</v>
      </c>
      <c r="L33" s="125">
        <f>SUM(L34:L37)</f>
        <v>38377542</v>
      </c>
      <c r="M33" s="125">
        <f>SUM(M34:M37)</f>
        <v>21298936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37317149</v>
      </c>
      <c r="K35" s="7">
        <v>21611141</v>
      </c>
      <c r="L35" s="7">
        <v>38377542</v>
      </c>
      <c r="M35" s="7">
        <f>L35-17078606</f>
        <v>21298936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25">
        <f>J7+J27+J38+J40</f>
        <v>768787340</v>
      </c>
      <c r="K42" s="125">
        <f>K7+K27+K38+K40</f>
        <v>492163500</v>
      </c>
      <c r="L42" s="125">
        <f>L7+L27+L38+L40</f>
        <v>705721469</v>
      </c>
      <c r="M42" s="125">
        <f>M7+M27+M38+M40</f>
        <v>445253915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25">
        <f>J10+J33+J39+J41</f>
        <v>852678604</v>
      </c>
      <c r="K43" s="125">
        <f>K10+K33+K39+K41</f>
        <v>482953595</v>
      </c>
      <c r="L43" s="125">
        <f>L10+L33+L39+L41</f>
        <v>783814222</v>
      </c>
      <c r="M43" s="125">
        <f>M10+M33+M39+M41</f>
        <v>430814590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-83891264</v>
      </c>
      <c r="K44" s="53">
        <f>K42-K43</f>
        <v>9209905</v>
      </c>
      <c r="L44" s="53">
        <f>L42-L43</f>
        <v>-78092753</v>
      </c>
      <c r="M44" s="53">
        <f>M42-M43</f>
        <v>14439325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9209905</v>
      </c>
      <c r="L45" s="53">
        <f>IF(L42&gt;L43,L42-L43,0)</f>
        <v>0</v>
      </c>
      <c r="M45" s="53">
        <f>IF(M42&gt;M43,M42-M43,0)</f>
        <v>14439325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83891264</v>
      </c>
      <c r="K46" s="53">
        <f>IF(K43&gt;K42,K43-K42,0)</f>
        <v>0</v>
      </c>
      <c r="L46" s="53">
        <f>IF(L43&gt;L42,L43-L42,0)</f>
        <v>78092753</v>
      </c>
      <c r="M46" s="53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-83891264</v>
      </c>
      <c r="K48" s="53">
        <f>K44-K47</f>
        <v>9209905</v>
      </c>
      <c r="L48" s="53">
        <f>L44-L47</f>
        <v>-78092753</v>
      </c>
      <c r="M48" s="53">
        <f>M44-M47</f>
        <v>14439325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9209905</v>
      </c>
      <c r="L49" s="53">
        <f>IF(L48&gt;0,L48,0)</f>
        <v>0</v>
      </c>
      <c r="M49" s="53">
        <f>IF(M48&gt;0,M48,0)</f>
        <v>14439325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83891264</v>
      </c>
      <c r="K50" s="60">
        <f>IF(K48&lt;0,-K48,0)</f>
        <v>0</v>
      </c>
      <c r="L50" s="60">
        <f>IF(L48&lt;0,-L48,0)</f>
        <v>78092753</v>
      </c>
      <c r="M50" s="60">
        <f>IF(M48&lt;0,-M48,0)</f>
        <v>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f>J48</f>
        <v>-83891264</v>
      </c>
      <c r="K56" s="6">
        <f>K48</f>
        <v>9209905</v>
      </c>
      <c r="L56" s="6">
        <f>L48</f>
        <v>-78092753</v>
      </c>
      <c r="M56" s="6">
        <f>M48</f>
        <v>14439325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1192693</v>
      </c>
      <c r="K57" s="53">
        <f>SUM(K58:K64)</f>
        <v>-411664</v>
      </c>
      <c r="L57" s="53">
        <f>SUM(L58:L64)</f>
        <v>3209911</v>
      </c>
      <c r="M57" s="53">
        <f>SUM(M58:M64)</f>
        <v>5188869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1192693</v>
      </c>
      <c r="K61" s="7">
        <v>-411664</v>
      </c>
      <c r="L61" s="7">
        <v>3209911</v>
      </c>
      <c r="M61" s="7">
        <f>L61+1978958</f>
        <v>5188869</v>
      </c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1192693</v>
      </c>
      <c r="K66" s="53">
        <f>K57-K65</f>
        <v>-411664</v>
      </c>
      <c r="L66" s="53">
        <f>L57-L65</f>
        <v>3209911</v>
      </c>
      <c r="M66" s="53">
        <f>M57-M65</f>
        <v>5188869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-82698571</v>
      </c>
      <c r="K67" s="60">
        <f>K56+K66</f>
        <v>8798241</v>
      </c>
      <c r="L67" s="60">
        <f>L56+L66</f>
        <v>-74882842</v>
      </c>
      <c r="M67" s="60">
        <f>M56+M66</f>
        <v>19628194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5.8515625" style="52" customWidth="1"/>
    <col min="10" max="10" width="11.0039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4.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-83891264</v>
      </c>
      <c r="K7" s="7">
        <v>-78092753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67326529</v>
      </c>
      <c r="K8" s="7">
        <v>40238722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239979986</v>
      </c>
      <c r="K9" s="7">
        <v>162132302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0</v>
      </c>
      <c r="K10" s="7">
        <v>9495050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0</v>
      </c>
      <c r="K11" s="7">
        <v>0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107939071</v>
      </c>
      <c r="K12" s="7">
        <v>92729704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129">
        <f>SUM(J7:J12)</f>
        <v>331354322</v>
      </c>
      <c r="K13" s="125">
        <f>SUM(K7:K12)</f>
        <v>226503025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0</v>
      </c>
      <c r="K14" s="7">
        <v>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30367577</v>
      </c>
      <c r="K15" s="7">
        <v>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4641193</v>
      </c>
      <c r="K16" s="7">
        <v>3045169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7799123</v>
      </c>
      <c r="K17" s="7">
        <v>15418958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129">
        <f>SUM(J14:J17)</f>
        <v>42807893</v>
      </c>
      <c r="K18" s="125">
        <f>SUM(K14:K17)</f>
        <v>18464127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9">
        <f>IF(J13&gt;J18,J13-J18,0)</f>
        <v>288546429</v>
      </c>
      <c r="K19" s="125">
        <f>IF(K13&gt;K18,K13-K18,0)</f>
        <v>208038898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129">
        <f>IF(J18&gt;J13,J18-J13,0)</f>
        <v>0</v>
      </c>
      <c r="K20" s="125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0</v>
      </c>
      <c r="K22" s="7">
        <v>49622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0</v>
      </c>
      <c r="K23" s="7">
        <v>0</v>
      </c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0</v>
      </c>
      <c r="K24" s="7">
        <v>0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0</v>
      </c>
      <c r="K25" s="7">
        <v>0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0</v>
      </c>
      <c r="K26" s="7">
        <v>0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129">
        <v>0</v>
      </c>
      <c r="K27" s="125">
        <f>SUM(K22:K26)</f>
        <v>49622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44829932</v>
      </c>
      <c r="K28" s="7">
        <v>23051284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0</v>
      </c>
      <c r="K29" s="7">
        <v>0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22366270</v>
      </c>
      <c r="K30" s="7">
        <v>36932383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129">
        <f>SUM(J28:J30)</f>
        <v>67196202</v>
      </c>
      <c r="K31" s="125">
        <f>SUM(K28:K30)</f>
        <v>59983667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9">
        <f>IF(J27&gt;J31,J27-J31,0)</f>
        <v>0</v>
      </c>
      <c r="K32" s="125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9">
        <f>IF(J31&gt;J27,J31-J27,0)</f>
        <v>67196202</v>
      </c>
      <c r="K33" s="125">
        <f>IF(K31&gt;K27,K31-K27,0)</f>
        <v>59934045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>
        <v>0</v>
      </c>
      <c r="K35" s="7">
        <v>0</v>
      </c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7450000</v>
      </c>
      <c r="K36" s="7">
        <v>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0</v>
      </c>
      <c r="K37" s="7">
        <v>0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129">
        <f>SUM(J35:J37)</f>
        <v>7450000</v>
      </c>
      <c r="K38" s="125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91170716</v>
      </c>
      <c r="K39" s="7">
        <v>87854264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0</v>
      </c>
      <c r="K40" s="7">
        <v>0</v>
      </c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231578</v>
      </c>
      <c r="K41" s="7">
        <v>8969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>
        <v>0</v>
      </c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5181551</v>
      </c>
      <c r="K43" s="7">
        <v>-3213111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9">
        <f>SUM(J39:J43)</f>
        <v>96583845</v>
      </c>
      <c r="K44" s="125">
        <f>SUM(K39:K43)</f>
        <v>84650122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9">
        <f>IF(J38&gt;J44,J38-J44,0)</f>
        <v>0</v>
      </c>
      <c r="K45" s="125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9">
        <f>IF(J44&gt;J38,J44-J38,0)</f>
        <v>89133845</v>
      </c>
      <c r="K46" s="125">
        <f>IF(K44&gt;K38,K44-K38,0)</f>
        <v>84650122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3">
        <f>IF(J19-J20+J32-J33+J45-J46&gt;0,J19-J20+J32-J33+J45-J46,0)</f>
        <v>132216382</v>
      </c>
      <c r="K47" s="53">
        <f>IF(K19-K20+K32-K33+K45-K46&gt;0,K19-K20+K32-K33+K45-K46,0)</f>
        <v>63454731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22142467</v>
      </c>
      <c r="K49" s="7">
        <v>34095556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132216381</v>
      </c>
      <c r="K50" s="7">
        <v>63454731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0</v>
      </c>
      <c r="K51" s="7">
        <v>0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4">
        <f>J49+J50-J51</f>
        <v>154358848</v>
      </c>
      <c r="K52" s="60">
        <f>K49+K50-K51</f>
        <v>97550287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6.00390625" style="75" customWidth="1"/>
    <col min="9" max="9" width="9.140625" style="75" customWidth="1"/>
    <col min="10" max="11" width="11.421875" style="75" bestFit="1" customWidth="1"/>
    <col min="12" max="16384" width="9.140625" style="75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.75">
      <c r="A2" s="42"/>
      <c r="B2" s="73"/>
      <c r="C2" s="272" t="s">
        <v>282</v>
      </c>
      <c r="D2" s="272"/>
      <c r="E2" s="76">
        <v>41275</v>
      </c>
      <c r="F2" s="43" t="s">
        <v>250</v>
      </c>
      <c r="G2" s="273" t="s">
        <v>339</v>
      </c>
      <c r="H2" s="274"/>
      <c r="I2" s="73"/>
      <c r="J2" s="73"/>
      <c r="K2" s="73"/>
      <c r="L2" s="77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79" t="s">
        <v>305</v>
      </c>
      <c r="J3" s="80" t="s">
        <v>150</v>
      </c>
      <c r="K3" s="80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2">
        <v>2</v>
      </c>
      <c r="J4" s="81" t="s">
        <v>283</v>
      </c>
      <c r="K4" s="81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989975500</v>
      </c>
      <c r="K5" s="45">
        <v>1852202900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0</v>
      </c>
      <c r="K6" s="46">
        <v>0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-10210777</v>
      </c>
      <c r="K7" s="46">
        <v>-5306638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-1024376105</v>
      </c>
      <c r="K8" s="46">
        <v>-1700278562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-83891264</v>
      </c>
      <c r="K9" s="46">
        <v>-78092753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81741626</v>
      </c>
      <c r="K10" s="46">
        <v>0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>
        <v>0</v>
      </c>
      <c r="K11" s="46">
        <v>0</v>
      </c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0</v>
      </c>
      <c r="K12" s="46">
        <v>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0</v>
      </c>
      <c r="K13" s="46">
        <v>0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125">
        <f>SUM(J5:J13)</f>
        <v>-46761020</v>
      </c>
      <c r="K14" s="125">
        <f>SUM(K5:K13)</f>
        <v>68524947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0</v>
      </c>
      <c r="K15" s="46">
        <v>0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>
        <v>0</v>
      </c>
      <c r="K16" s="46">
        <v>0</v>
      </c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>
        <v>1192693</v>
      </c>
      <c r="K17" s="46">
        <v>3209911</v>
      </c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>
        <v>0</v>
      </c>
      <c r="K18" s="46">
        <v>0</v>
      </c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>
        <v>0</v>
      </c>
      <c r="K19" s="46">
        <v>0</v>
      </c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-90265509</v>
      </c>
      <c r="K20" s="46">
        <v>-78089553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130">
        <f>SUM(J15:J20)</f>
        <v>-89072816</v>
      </c>
      <c r="K21" s="130">
        <f>SUM(K15:K20)</f>
        <v>-74879642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>
        <v>0</v>
      </c>
      <c r="K23" s="45">
        <v>0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78">
        <v>0</v>
      </c>
      <c r="K24" s="78">
        <v>0</v>
      </c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DX7500</cp:lastModifiedBy>
  <cp:lastPrinted>2013-04-29T12:42:16Z</cp:lastPrinted>
  <dcterms:created xsi:type="dcterms:W3CDTF">2008-10-17T11:51:54Z</dcterms:created>
  <dcterms:modified xsi:type="dcterms:W3CDTF">2013-07-29T13:28:58Z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